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inancials" sheetId="1" state="visible" r:id="rId1"/>
    <sheet xmlns:r="http://schemas.openxmlformats.org/officeDocument/2006/relationships" name="_reported" sheetId="2" state="visible" r:id="rId2"/>
    <sheet xmlns:r="http://schemas.openxmlformats.org/officeDocument/2006/relationships" name="inputs" sheetId="3" state="visible" r:id="rId3"/>
  </sheets>
  <definedNames>
    <definedName name="Name">inputs!$F$3</definedName>
    <definedName name="Subheader">inputs!$F$5</definedName>
    <definedName name="FYE">inputs!$F$7</definedName>
  </definedNames>
  <calcPr calcId="124519" fullCalcOnLoad="1"/>
</workbook>
</file>

<file path=xl/styles.xml><?xml version="1.0" encoding="utf-8"?>
<styleSheet xmlns="http://schemas.openxmlformats.org/spreadsheetml/2006/main">
  <numFmts count="5">
    <numFmt numFmtId="164" formatCode="&quot;$&quot;#,##0.0_);(&quot;$&quot;#,##0.0)"/>
    <numFmt numFmtId="165" formatCode="#,##0.0_);(#,##0.0)"/>
    <numFmt numFmtId="166" formatCode="#,##0.000_);(#,##0.000)"/>
    <numFmt numFmtId="167" formatCode="#,##0.0%_);(#,##0.0%)"/>
    <numFmt numFmtId="168" formatCode="0.00&quot;x&quot;"/>
  </numFmts>
  <fonts count="14">
    <font>
      <name val="Calibri"/>
      <family val="2"/>
      <color theme="1"/>
      <sz val="11"/>
      <scheme val="minor"/>
    </font>
    <font>
      <name val="Arial"/>
      <color rgb="00FF0000"/>
      <sz val="7"/>
    </font>
    <font>
      <name val="Arial"/>
      <b val="1"/>
      <color rgb="00000000"/>
      <sz val="10"/>
    </font>
    <font>
      <name val="Arial"/>
      <color rgb="003366FF"/>
      <sz val="10"/>
    </font>
    <font>
      <name val="Arial"/>
      <b val="1"/>
      <color rgb="00000000"/>
      <sz val="12"/>
    </font>
    <font>
      <name val="Arial"/>
      <i val="1"/>
      <color rgb="00808080"/>
      <sz val="10"/>
    </font>
    <font>
      <name val="Arial"/>
      <b val="1"/>
      <i val="1"/>
      <color rgb="00000000"/>
      <sz val="10"/>
    </font>
    <font>
      <name val="Arial"/>
      <b val="1"/>
      <color rgb="00000000"/>
      <sz val="14"/>
    </font>
    <font>
      <name val="Arial"/>
      <i val="1"/>
      <color rgb="00000000"/>
      <sz val="10"/>
    </font>
    <font>
      <name val="Arial"/>
      <color rgb="00000000"/>
      <sz val="10"/>
    </font>
    <font>
      <name val="Arial"/>
      <b val="1"/>
      <color rgb="00FFFFFF"/>
      <sz val="10"/>
    </font>
    <font>
      <name val="Arial"/>
      <b val="1"/>
      <color rgb="00FFFFFF"/>
      <sz val="12"/>
    </font>
    <font>
      <name val="Arial"/>
      <color rgb="0000AA00"/>
      <sz val="10"/>
    </font>
    <font>
      <name val="Arial"/>
      <b val="1"/>
      <color rgb="00FF0000"/>
      <sz val="10"/>
    </font>
  </fonts>
  <fills count="5">
    <fill>
      <patternFill/>
    </fill>
    <fill>
      <patternFill patternType="gray125"/>
    </fill>
    <fill>
      <patternFill patternType="solid">
        <fgColor rgb="00003082"/>
      </patternFill>
    </fill>
    <fill>
      <patternFill patternType="solid">
        <fgColor rgb="000E7C3F"/>
      </patternFill>
    </fill>
    <fill>
      <patternFill patternType="solid">
        <fgColor rgb="00B45309"/>
      </patternFill>
    </fill>
  </fills>
  <borders count="2">
    <border>
      <left/>
      <right/>
      <top/>
      <bottom/>
      <diagonal/>
    </border>
    <border>
      <top style="thin">
        <color rgb="00000000"/>
      </top>
    </border>
  </borders>
  <cellStyleXfs count="1">
    <xf numFmtId="0" fontId="0" fillId="0" borderId="0"/>
  </cellStyleXfs>
  <cellXfs count="52">
    <xf numFmtId="0" fontId="0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0" fontId="9" fillId="0" borderId="0" applyAlignment="1" pivotButton="0" quotePrefix="0" xfId="0">
      <alignment horizontal="center"/>
    </xf>
    <xf numFmtId="0" fontId="10" fillId="2" borderId="0" applyAlignment="1" pivotButton="0" quotePrefix="0" xfId="0">
      <alignment horizontal="centerContinuous"/>
    </xf>
    <xf numFmtId="0" fontId="2" fillId="0" borderId="0" applyAlignment="1" pivotButton="0" quotePrefix="0" xfId="0">
      <alignment horizontal="center"/>
    </xf>
    <xf numFmtId="14" fontId="9" fillId="0" borderId="0" applyAlignment="1" pivotButton="0" quotePrefix="0" xfId="0">
      <alignment horizontal="center"/>
    </xf>
    <xf numFmtId="0" fontId="11" fillId="2" borderId="0" applyAlignment="1" pivotButton="0" quotePrefix="0" xfId="0">
      <alignment horizontal="centerContinuous"/>
    </xf>
    <xf numFmtId="0" fontId="5" fillId="0" borderId="0" pivotButton="0" quotePrefix="0" xfId="0"/>
    <xf numFmtId="0" fontId="9" fillId="0" borderId="0" pivotButton="0" quotePrefix="0" xfId="0"/>
    <xf numFmtId="164" fontId="3" fillId="0" borderId="0" pivotButton="0" quotePrefix="0" xfId="0"/>
    <xf numFmtId="165" fontId="3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164" fontId="2" fillId="0" borderId="1" pivotButton="0" quotePrefix="0" xfId="0"/>
    <xf numFmtId="166" fontId="12" fillId="0" borderId="0" pivotButton="0" quotePrefix="0" xfId="0"/>
    <xf numFmtId="164" fontId="9" fillId="0" borderId="0" pivotButton="0" quotePrefix="0" xfId="0"/>
    <xf numFmtId="7" fontId="2" fillId="0" borderId="0" pivotButton="0" quotePrefix="0" xfId="0"/>
    <xf numFmtId="167" fontId="9" fillId="0" borderId="0" pivotButton="0" quotePrefix="0" xfId="0"/>
    <xf numFmtId="0" fontId="11" fillId="3" borderId="0" applyAlignment="1" pivotButton="0" quotePrefix="0" xfId="0">
      <alignment horizontal="centerContinuous"/>
    </xf>
    <xf numFmtId="164" fontId="0" fillId="0" borderId="0" pivotButton="0" quotePrefix="0" xfId="0"/>
    <xf numFmtId="165" fontId="0" fillId="0" borderId="0" pivotButton="0" quotePrefix="0" xfId="0"/>
    <xf numFmtId="166" fontId="9" fillId="0" borderId="0" pivotButton="0" quotePrefix="0" xfId="0"/>
    <xf numFmtId="3" fontId="9" fillId="0" borderId="0" pivotButton="0" quotePrefix="0" xfId="0"/>
    <xf numFmtId="168" fontId="9" fillId="0" borderId="0" pivotButton="0" quotePrefix="0" xfId="0"/>
    <xf numFmtId="0" fontId="11" fillId="4" borderId="0" applyAlignment="1" pivotButton="0" quotePrefix="0" xfId="0">
      <alignment horizontal="centerContinuous"/>
    </xf>
    <xf numFmtId="164" fontId="2" fillId="0" borderId="0" pivotButton="0" quotePrefix="0" xfId="0"/>
    <xf numFmtId="0" fontId="13" fillId="0" borderId="0" pivotButton="0" quotePrefix="0" xfId="0"/>
    <xf numFmtId="0" fontId="4" fillId="0" borderId="0" pivotButton="0" quotePrefix="0" xfId="0"/>
    <xf numFmtId="14" fontId="0" fillId="0" borderId="0" pivotButton="0" quotePrefix="0" xfId="0"/>
    <xf numFmtId="0" fontId="6" fillId="0" borderId="0" pivotButton="0" quotePrefix="0" xfId="0"/>
    <xf numFmtId="7" fontId="3" fillId="0" borderId="0" pivotButton="0" quotePrefix="0" xfId="0"/>
    <xf numFmtId="0" fontId="3" fillId="0" borderId="0" pivotButton="0" quotePrefix="0" xfId="0"/>
    <xf numFmtId="14" fontId="3" fillId="0" borderId="0" pivotButton="0" quotePrefix="0" xfId="0"/>
    <xf numFmtId="167" fontId="3" fillId="0" borderId="0" pivotButton="0" quotePrefix="0" xfId="0"/>
    <xf numFmtId="164" fontId="3" fillId="0" borderId="0" pivotButton="0" quotePrefix="0" xfId="0"/>
    <xf numFmtId="164" fontId="9" fillId="0" borderId="0" pivotButton="0" quotePrefix="0" xfId="0"/>
    <xf numFmtId="167" fontId="9" fillId="0" borderId="0" pivotButton="0" quotePrefix="0" xfId="0"/>
    <xf numFmtId="165" fontId="3" fillId="0" borderId="0" pivotButton="0" quotePrefix="0" xfId="0"/>
    <xf numFmtId="165" fontId="9" fillId="0" borderId="0" pivotButton="0" quotePrefix="0" xfId="0"/>
    <xf numFmtId="164" fontId="2" fillId="0" borderId="1" pivotButton="0" quotePrefix="0" xfId="0"/>
    <xf numFmtId="166" fontId="12" fillId="0" borderId="0" pivotButton="0" quotePrefix="0" xfId="0"/>
    <xf numFmtId="167" fontId="3" fillId="0" borderId="0" pivotButton="0" quotePrefix="0" xfId="0"/>
    <xf numFmtId="164" fontId="0" fillId="0" borderId="0" pivotButton="0" quotePrefix="0" xfId="0"/>
    <xf numFmtId="165" fontId="0" fillId="0" borderId="0" pivotButton="0" quotePrefix="0" xfId="0"/>
    <xf numFmtId="166" fontId="9" fillId="0" borderId="0" pivotButton="0" quotePrefix="0" xfId="0"/>
    <xf numFmtId="168" fontId="9" fillId="0" borderId="0" pivotButton="0" quotePrefix="0" xfId="0"/>
    <xf numFmtId="164" fontId="2" fillId="0" borderId="0" pivotButton="0" quotePrefix="0" xfId="0"/>
    <xf numFmtId="39" fontId="9" fillId="0" borderId="0" pivotButton="0" quotePrefix="0" xfId="0"/>
    <xf numFmtId="39" fontId="3" fillId="0" borderId="0" pivotButton="0" quotePrefix="0" xfId="0"/>
    <xf numFmtId="3" fontId="3" fillId="0" borderId="0" pivotButton="0" quotePrefix="0" xfId="0"/>
    <xf numFmtId="0" fontId="11" fillId="0" borderId="0" applyAlignment="1" pivotButton="0" quotePrefix="0" xfId="0">
      <alignment horizontal="centerContinuous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F2B5B"/>
    <outlinePr summaryBelow="1" summaryRight="1"/>
    <pageSetUpPr/>
  </sheetPr>
  <dimension ref="A1:AF352"/>
  <sheetViews>
    <sheetView showGridLines="0" zoomScale="85" workbookViewId="0">
      <pane xSplit="4" ySplit="6" topLeftCell="E7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.7" customWidth="1" min="1" max="1"/>
    <col width="2.4" customWidth="1" min="2" max="2"/>
    <col width="2.4" customWidth="1" min="3" max="3"/>
    <col width="52" customWidth="1" min="4" max="4"/>
    <col width="4" customWidth="1" min="5" max="5"/>
    <col width="1.7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12" customWidth="1" min="16" max="16"/>
    <col width="1.7" customWidth="1" min="17" max="17"/>
    <col width="12" customWidth="1" min="18" max="18"/>
    <col width="12" customWidth="1" min="19" max="19"/>
    <col width="12" customWidth="1" min="20" max="20"/>
    <col width="12" customWidth="1" min="21" max="21"/>
    <col width="12" customWidth="1" min="22" max="22"/>
    <col width="12" customWidth="1" min="23" max="23"/>
    <col width="12" customWidth="1" min="24" max="24"/>
    <col width="12" customWidth="1" min="25" max="25"/>
    <col width="1.7" customWidth="1" min="26" max="26"/>
    <col width="10" customWidth="1" min="27" max="27"/>
    <col width="10" customWidth="1" min="28" max="28"/>
  </cols>
  <sheetData>
    <row r="1">
      <c r="B1" s="1">
        <f>"Income Statement, Balance Sheet, and Cash Flow Statement for "&amp;Name</f>
        <v/>
      </c>
    </row>
    <row r="2">
      <c r="B2" s="2">
        <f>Subheader</f>
        <v/>
      </c>
    </row>
    <row r="3">
      <c r="AA3" s="3">
        <f>R5&amp;" - "&amp;T5</f>
        <v/>
      </c>
    </row>
    <row r="4">
      <c r="B4" s="4" t="n"/>
      <c r="C4" s="4" t="n"/>
      <c r="D4" s="4" t="n"/>
      <c r="E4" s="4" t="n"/>
      <c r="F4" s="4" t="n"/>
      <c r="G4" s="4" t="inlineStr">
        <is>
          <t>Historical Quarters</t>
        </is>
      </c>
      <c r="H4" s="4" t="n"/>
      <c r="I4" s="4" t="inlineStr">
        <is>
          <t>Projected Quarters</t>
        </is>
      </c>
      <c r="J4" s="4" t="n"/>
      <c r="K4" s="4" t="n"/>
      <c r="L4" s="4" t="n"/>
      <c r="M4" s="4" t="n"/>
      <c r="N4" s="4" t="n"/>
      <c r="O4" s="4" t="n"/>
      <c r="P4" s="4" t="n"/>
      <c r="R4" s="4" t="inlineStr">
        <is>
          <t>Historical Annuals</t>
        </is>
      </c>
      <c r="S4" s="4" t="n"/>
      <c r="T4" s="4" t="n"/>
      <c r="U4" s="4" t="inlineStr">
        <is>
          <t>Projected Annuals</t>
        </is>
      </c>
      <c r="V4" s="4" t="n"/>
      <c r="W4" s="4" t="n"/>
      <c r="X4" s="4" t="n"/>
      <c r="Y4" s="4" t="n"/>
      <c r="AA4" s="5" t="inlineStr">
        <is>
          <t>CAGR</t>
        </is>
      </c>
      <c r="AB4" s="5" t="inlineStr">
        <is>
          <t>Step</t>
        </is>
      </c>
    </row>
    <row r="5">
      <c r="G5" s="5" t="inlineStr">
        <is>
          <t>1Q25</t>
        </is>
      </c>
      <c r="H5" s="5" t="inlineStr">
        <is>
          <t>1Q26</t>
        </is>
      </c>
      <c r="I5" s="5" t="inlineStr">
        <is>
          <t>2Q26</t>
        </is>
      </c>
      <c r="J5" s="5" t="inlineStr">
        <is>
          <t>3Q26E</t>
        </is>
      </c>
      <c r="K5" s="5" t="inlineStr">
        <is>
          <t>4Q26E</t>
        </is>
      </c>
      <c r="L5" s="5" t="inlineStr">
        <is>
          <t>1Q27E</t>
        </is>
      </c>
      <c r="M5" s="5" t="inlineStr">
        <is>
          <t>2Q27E</t>
        </is>
      </c>
      <c r="N5" s="5" t="inlineStr">
        <is>
          <t>3Q27E</t>
        </is>
      </c>
      <c r="O5" s="5" t="inlineStr">
        <is>
          <t>4Q27E</t>
        </is>
      </c>
      <c r="P5" s="5" t="inlineStr">
        <is>
          <t>1Q28E</t>
        </is>
      </c>
      <c r="R5" s="5" t="n">
        <v>2023</v>
      </c>
      <c r="S5" s="5" t="n">
        <v>2024</v>
      </c>
      <c r="T5" s="5" t="n">
        <v>2025</v>
      </c>
      <c r="U5" s="5" t="inlineStr">
        <is>
          <t>2026E</t>
        </is>
      </c>
      <c r="V5" s="5" t="inlineStr">
        <is>
          <t>2027E</t>
        </is>
      </c>
      <c r="W5" s="5" t="inlineStr">
        <is>
          <t>2028E</t>
        </is>
      </c>
      <c r="X5" s="5" t="inlineStr">
        <is>
          <t>2029E</t>
        </is>
      </c>
      <c r="Y5" s="5" t="inlineStr">
        <is>
          <t>2030E</t>
        </is>
      </c>
    </row>
    <row r="6">
      <c r="G6" s="6" t="n">
        <v>45747</v>
      </c>
      <c r="H6" s="6" t="n">
        <v>46112</v>
      </c>
      <c r="I6" s="6" t="n">
        <v>46203</v>
      </c>
      <c r="J6" s="6" t="n">
        <v>46295</v>
      </c>
      <c r="K6" s="6" t="n">
        <v>46387</v>
      </c>
      <c r="L6" s="6" t="n">
        <v>46477</v>
      </c>
      <c r="M6" s="6" t="n">
        <v>46568</v>
      </c>
      <c r="N6" s="6" t="n">
        <v>46660</v>
      </c>
      <c r="O6" s="6" t="n">
        <v>46752</v>
      </c>
      <c r="P6" s="6" t="n">
        <v>46843</v>
      </c>
      <c r="R6" s="6" t="n">
        <v>45291</v>
      </c>
      <c r="S6" s="6" t="n">
        <v>45657</v>
      </c>
      <c r="T6" s="6" t="n">
        <v>46022</v>
      </c>
      <c r="U6" s="6" t="n">
        <v>46387</v>
      </c>
      <c r="V6" s="6" t="n">
        <v>46752</v>
      </c>
      <c r="W6" s="6" t="n">
        <v>47118</v>
      </c>
      <c r="X6" s="6" t="n">
        <v>47483</v>
      </c>
      <c r="Y6" s="6" t="n">
        <v>47848</v>
      </c>
    </row>
    <row r="7"/>
    <row r="8">
      <c r="B8" s="7" t="inlineStr">
        <is>
          <t>Income Statement</t>
        </is>
      </c>
      <c r="C8" s="7" t="n"/>
      <c r="D8" s="7" t="n"/>
      <c r="E8" s="7" t="n"/>
      <c r="F8" s="7" t="n"/>
      <c r="G8" s="7" t="n"/>
      <c r="H8" s="7" t="n"/>
      <c r="I8" s="7" t="n"/>
      <c r="J8" s="7" t="n"/>
      <c r="K8" s="7" t="n"/>
      <c r="L8" s="7" t="n"/>
      <c r="M8" s="7" t="n"/>
      <c r="N8" s="7" t="n"/>
      <c r="O8" s="7" t="n"/>
      <c r="P8" s="7" t="n"/>
      <c r="R8" s="7" t="n"/>
      <c r="S8" s="7" t="n"/>
      <c r="T8" s="7" t="n"/>
      <c r="U8" s="7" t="n"/>
      <c r="V8" s="7" t="n"/>
      <c r="W8" s="7" t="n"/>
      <c r="X8" s="7" t="n"/>
      <c r="Y8" s="7" t="n"/>
    </row>
    <row r="9">
      <c r="C9" s="8" t="inlineStr">
        <is>
          <t>Source: 424B4 (2026-06-12) — combined SpaceX + xAI + X (common-control reorg). Revenue components = Note 18 segments. Sign convention: 'Less:' rows NEGATIVE.</t>
        </is>
      </c>
    </row>
    <row r="10">
      <c r="D10" s="9" t="inlineStr">
        <is>
          <t>Space Revenue</t>
        </is>
      </c>
      <c r="G10" s="35" t="n">
        <v>865</v>
      </c>
      <c r="H10" s="35" t="n">
        <v>619</v>
      </c>
      <c r="I10" s="36">
        <f>I97</f>
        <v/>
      </c>
      <c r="J10" s="36">
        <f>J97</f>
        <v/>
      </c>
      <c r="K10" s="36">
        <f>K97</f>
        <v/>
      </c>
      <c r="L10" s="36">
        <f>L97</f>
        <v/>
      </c>
      <c r="M10" s="36">
        <f>M97</f>
        <v/>
      </c>
      <c r="N10" s="36">
        <f>N97</f>
        <v/>
      </c>
      <c r="O10" s="36">
        <f>O97</f>
        <v/>
      </c>
      <c r="P10" s="36">
        <f>P97</f>
        <v/>
      </c>
      <c r="R10" s="35" t="n">
        <v>3557</v>
      </c>
      <c r="S10" s="35" t="n">
        <v>3796</v>
      </c>
      <c r="T10" s="35" t="n">
        <v>4086</v>
      </c>
      <c r="U10" s="36">
        <f>U97</f>
        <v/>
      </c>
      <c r="V10" s="36">
        <f>V97</f>
        <v/>
      </c>
      <c r="W10" s="36">
        <f>W97</f>
        <v/>
      </c>
      <c r="X10" s="36">
        <f>X97</f>
        <v/>
      </c>
      <c r="Y10" s="36">
        <f>Y97</f>
        <v/>
      </c>
      <c r="AA10" s="37">
        <f>IFERROR((Y10/T10)^(1/5)-1,"")</f>
        <v/>
      </c>
    </row>
    <row r="11">
      <c r="D11" s="9" t="inlineStr">
        <is>
          <t>Connectivity Revenue (Starlink)</t>
        </is>
      </c>
      <c r="G11" s="38" t="n">
        <v>2475</v>
      </c>
      <c r="H11" s="38" t="n">
        <v>3257</v>
      </c>
      <c r="I11" s="39">
        <f>I106</f>
        <v/>
      </c>
      <c r="J11" s="39">
        <f>J106</f>
        <v/>
      </c>
      <c r="K11" s="39">
        <f>K106</f>
        <v/>
      </c>
      <c r="L11" s="39">
        <f>L106</f>
        <v/>
      </c>
      <c r="M11" s="39">
        <f>M106</f>
        <v/>
      </c>
      <c r="N11" s="39">
        <f>N106</f>
        <v/>
      </c>
      <c r="O11" s="39">
        <f>O106</f>
        <v/>
      </c>
      <c r="P11" s="39">
        <f>P106</f>
        <v/>
      </c>
      <c r="R11" s="38" t="n">
        <v>3869</v>
      </c>
      <c r="S11" s="38" t="n">
        <v>7599</v>
      </c>
      <c r="T11" s="38" t="n">
        <v>11387</v>
      </c>
      <c r="U11" s="39">
        <f>U106</f>
        <v/>
      </c>
      <c r="V11" s="39">
        <f>V106</f>
        <v/>
      </c>
      <c r="W11" s="39">
        <f>W106</f>
        <v/>
      </c>
      <c r="X11" s="39">
        <f>X106</f>
        <v/>
      </c>
      <c r="Y11" s="39">
        <f>Y106</f>
        <v/>
      </c>
      <c r="AA11" s="37">
        <f>IFERROR((Y11/T11)^(1/5)-1,"")</f>
        <v/>
      </c>
    </row>
    <row r="12">
      <c r="D12" s="9" t="inlineStr">
        <is>
          <t>AI Revenue (xAI + X)</t>
        </is>
      </c>
      <c r="G12" s="38" t="n">
        <v>727</v>
      </c>
      <c r="H12" s="38" t="n">
        <v>818</v>
      </c>
      <c r="I12" s="39">
        <f>I112</f>
        <v/>
      </c>
      <c r="J12" s="39">
        <f>J112</f>
        <v/>
      </c>
      <c r="K12" s="39">
        <f>K112</f>
        <v/>
      </c>
      <c r="L12" s="39">
        <f>L112</f>
        <v/>
      </c>
      <c r="M12" s="39">
        <f>M112</f>
        <v/>
      </c>
      <c r="N12" s="39">
        <f>N112</f>
        <v/>
      </c>
      <c r="O12" s="39">
        <f>O112</f>
        <v/>
      </c>
      <c r="P12" s="39">
        <f>P112</f>
        <v/>
      </c>
      <c r="R12" s="38" t="n">
        <v>2961</v>
      </c>
      <c r="S12" s="38" t="n">
        <v>2620</v>
      </c>
      <c r="T12" s="38" t="n">
        <v>3201</v>
      </c>
      <c r="U12" s="39">
        <f>U112</f>
        <v/>
      </c>
      <c r="V12" s="39">
        <f>V112</f>
        <v/>
      </c>
      <c r="W12" s="39">
        <f>W112</f>
        <v/>
      </c>
      <c r="X12" s="39">
        <f>X112</f>
        <v/>
      </c>
      <c r="Y12" s="39">
        <f>Y112</f>
        <v/>
      </c>
      <c r="AA12" s="37">
        <f>IFERROR((Y12/T12)^(1/5)-1,"")</f>
        <v/>
      </c>
    </row>
    <row r="13">
      <c r="A13" s="12" t="inlineStr">
        <is>
          <t>x</t>
        </is>
      </c>
      <c r="B13" s="13" t="inlineStr">
        <is>
          <t>Total Revenue</t>
        </is>
      </c>
      <c r="G13" s="40">
        <f>SUM(G10:G12)</f>
        <v/>
      </c>
      <c r="H13" s="40">
        <f>SUM(H10:H12)</f>
        <v/>
      </c>
      <c r="I13" s="40">
        <f>SUM(I10:I12)</f>
        <v/>
      </c>
      <c r="J13" s="40">
        <f>SUM(J10:J12)</f>
        <v/>
      </c>
      <c r="K13" s="40">
        <f>SUM(K10:K12)</f>
        <v/>
      </c>
      <c r="L13" s="40">
        <f>SUM(L10:L12)</f>
        <v/>
      </c>
      <c r="M13" s="40">
        <f>SUM(M10:M12)</f>
        <v/>
      </c>
      <c r="N13" s="40">
        <f>SUM(N10:N12)</f>
        <v/>
      </c>
      <c r="O13" s="40">
        <f>SUM(O10:O12)</f>
        <v/>
      </c>
      <c r="P13" s="40">
        <f>SUM(P10:P12)</f>
        <v/>
      </c>
      <c r="R13" s="40">
        <f>SUM(R10:R12)</f>
        <v/>
      </c>
      <c r="S13" s="40">
        <f>SUM(S10:S12)</f>
        <v/>
      </c>
      <c r="T13" s="40">
        <f>SUM(T10:T12)</f>
        <v/>
      </c>
      <c r="U13" s="40">
        <f>SUM(U10:U12)</f>
        <v/>
      </c>
      <c r="V13" s="40">
        <f>SUM(V10:V12)</f>
        <v/>
      </c>
      <c r="W13" s="40">
        <f>SUM(W10:W12)</f>
        <v/>
      </c>
      <c r="X13" s="40">
        <f>SUM(X10:X12)</f>
        <v/>
      </c>
      <c r="Y13" s="40">
        <f>SUM(Y10:Y12)</f>
        <v/>
      </c>
      <c r="AA13" s="37">
        <f>IFERROR((Y13/T13)^(1/5)-1,"")</f>
        <v/>
      </c>
    </row>
    <row r="14">
      <c r="D14" s="8" t="inlineStr">
        <is>
          <t>Reconciliation: variance vs. as-reported</t>
        </is>
      </c>
      <c r="G14" s="41">
        <f>IF(_reported!G9="","",G13-_reported!G9)</f>
        <v/>
      </c>
      <c r="H14" s="41">
        <f>IF(_reported!H9="","",H13-_reported!H9)</f>
        <v/>
      </c>
      <c r="R14" s="41">
        <f>IF(_reported!R9="","",R13-_reported!R9)</f>
        <v/>
      </c>
      <c r="S14" s="41">
        <f>IF(_reported!S9="","",S13-_reported!S9)</f>
        <v/>
      </c>
      <c r="T14" s="41">
        <f>IF(_reported!T9="","",T13-_reported!T9)</f>
        <v/>
      </c>
    </row>
    <row r="15"/>
    <row r="16">
      <c r="D16" s="9" t="inlineStr">
        <is>
          <t>Less: Cost of Revenue</t>
        </is>
      </c>
      <c r="G16" s="35" t="n">
        <v>-1962</v>
      </c>
      <c r="H16" s="35" t="n">
        <v>-2388</v>
      </c>
      <c r="I16" s="36">
        <f>-I70*I13</f>
        <v/>
      </c>
      <c r="J16" s="36">
        <f>-J70*J13</f>
        <v/>
      </c>
      <c r="K16" s="36">
        <f>-K70*K13</f>
        <v/>
      </c>
      <c r="L16" s="36">
        <f>-L70*L13</f>
        <v/>
      </c>
      <c r="M16" s="36">
        <f>-M70*M13</f>
        <v/>
      </c>
      <c r="N16" s="36">
        <f>-N70*N13</f>
        <v/>
      </c>
      <c r="O16" s="36">
        <f>-O70*O13</f>
        <v/>
      </c>
      <c r="P16" s="36">
        <f>-P70*P13</f>
        <v/>
      </c>
      <c r="R16" s="35" t="n">
        <v>-6110</v>
      </c>
      <c r="S16" s="35" t="n">
        <v>-7996</v>
      </c>
      <c r="T16" s="35" t="n">
        <v>-9451</v>
      </c>
      <c r="U16" s="36">
        <f>H16+I16+J16+K16</f>
        <v/>
      </c>
      <c r="V16" s="36">
        <f>L16+M16+N16+O16</f>
        <v/>
      </c>
      <c r="W16" s="36">
        <f>-W70*W13</f>
        <v/>
      </c>
      <c r="X16" s="36">
        <f>-X70*X13</f>
        <v/>
      </c>
      <c r="Y16" s="36">
        <f>-Y70*Y13</f>
        <v/>
      </c>
    </row>
    <row r="17">
      <c r="A17" s="12" t="inlineStr">
        <is>
          <t>x</t>
        </is>
      </c>
      <c r="B17" s="13" t="inlineStr">
        <is>
          <t>Gross Profit (memo — not separately filed)</t>
        </is>
      </c>
      <c r="G17" s="40">
        <f>G13+G16</f>
        <v/>
      </c>
      <c r="H17" s="40">
        <f>H13+H16</f>
        <v/>
      </c>
      <c r="I17" s="40">
        <f>I13+I16</f>
        <v/>
      </c>
      <c r="J17" s="40">
        <f>J13+J16</f>
        <v/>
      </c>
      <c r="K17" s="40">
        <f>K13+K16</f>
        <v/>
      </c>
      <c r="L17" s="40">
        <f>L13+L16</f>
        <v/>
      </c>
      <c r="M17" s="40">
        <f>M13+M16</f>
        <v/>
      </c>
      <c r="N17" s="40">
        <f>N13+N16</f>
        <v/>
      </c>
      <c r="O17" s="40">
        <f>O13+O16</f>
        <v/>
      </c>
      <c r="P17" s="40">
        <f>P13+P16</f>
        <v/>
      </c>
      <c r="R17" s="40">
        <f>R13+R16</f>
        <v/>
      </c>
      <c r="S17" s="40">
        <f>S13+S16</f>
        <v/>
      </c>
      <c r="T17" s="40">
        <f>T13+T16</f>
        <v/>
      </c>
      <c r="U17" s="40">
        <f>U13+U16</f>
        <v/>
      </c>
      <c r="V17" s="40">
        <f>V13+V16</f>
        <v/>
      </c>
      <c r="W17" s="40">
        <f>W13+W16</f>
        <v/>
      </c>
      <c r="X17" s="40">
        <f>X13+X16</f>
        <v/>
      </c>
      <c r="Y17" s="40">
        <f>Y13+Y16</f>
        <v/>
      </c>
    </row>
    <row r="18"/>
    <row r="19">
      <c r="D19" s="9" t="inlineStr">
        <is>
          <t>Less: Research &amp; Development</t>
        </is>
      </c>
      <c r="G19" s="35" t="n">
        <v>-1557</v>
      </c>
      <c r="H19" s="35" t="n">
        <v>-3514</v>
      </c>
      <c r="I19" s="36">
        <f>-I71*I13</f>
        <v/>
      </c>
      <c r="J19" s="36">
        <f>-J71*J13</f>
        <v/>
      </c>
      <c r="K19" s="36">
        <f>-K71*K13</f>
        <v/>
      </c>
      <c r="L19" s="36">
        <f>-L71*L13</f>
        <v/>
      </c>
      <c r="M19" s="36">
        <f>-M71*M13</f>
        <v/>
      </c>
      <c r="N19" s="36">
        <f>-N71*N13</f>
        <v/>
      </c>
      <c r="O19" s="36">
        <f>-O71*O13</f>
        <v/>
      </c>
      <c r="P19" s="36">
        <f>-P71*P13</f>
        <v/>
      </c>
      <c r="R19" s="35" t="n">
        <v>-2105</v>
      </c>
      <c r="S19" s="35" t="n">
        <v>-3464</v>
      </c>
      <c r="T19" s="35" t="n">
        <v>-8643</v>
      </c>
      <c r="U19" s="36">
        <f>H19+I19+J19+K19</f>
        <v/>
      </c>
      <c r="V19" s="36">
        <f>L19+M19+N19+O19</f>
        <v/>
      </c>
      <c r="W19" s="36">
        <f>-W71*W13</f>
        <v/>
      </c>
      <c r="X19" s="36">
        <f>-X71*X13</f>
        <v/>
      </c>
      <c r="Y19" s="36">
        <f>-Y71*Y13</f>
        <v/>
      </c>
    </row>
    <row r="20">
      <c r="D20" s="9" t="inlineStr">
        <is>
          <t>Less: Selling, General &amp; Administrative</t>
        </is>
      </c>
      <c r="G20" s="38" t="n">
        <v>-493</v>
      </c>
      <c r="H20" s="38" t="n">
        <v>-746</v>
      </c>
      <c r="I20" s="39">
        <f>-I72*I13</f>
        <v/>
      </c>
      <c r="J20" s="39">
        <f>-J72*J13</f>
        <v/>
      </c>
      <c r="K20" s="39">
        <f>-K72*K13</f>
        <v/>
      </c>
      <c r="L20" s="39">
        <f>-L72*L13</f>
        <v/>
      </c>
      <c r="M20" s="39">
        <f>-M72*M13</f>
        <v/>
      </c>
      <c r="N20" s="39">
        <f>-N72*N13</f>
        <v/>
      </c>
      <c r="O20" s="39">
        <f>-O72*O13</f>
        <v/>
      </c>
      <c r="P20" s="39">
        <f>-P72*P13</f>
        <v/>
      </c>
      <c r="R20" s="38" t="n">
        <v>-1665</v>
      </c>
      <c r="S20" s="38" t="n">
        <v>-1813</v>
      </c>
      <c r="T20" s="38" t="n">
        <v>-2644</v>
      </c>
      <c r="U20" s="39">
        <f>H20+I20+J20+K20</f>
        <v/>
      </c>
      <c r="V20" s="39">
        <f>L20+M20+N20+O20</f>
        <v/>
      </c>
      <c r="W20" s="39">
        <f>-W72*W13</f>
        <v/>
      </c>
      <c r="X20" s="39">
        <f>-X72*X13</f>
        <v/>
      </c>
      <c r="Y20" s="39">
        <f>-Y72*Y13</f>
        <v/>
      </c>
    </row>
    <row r="21">
      <c r="D21" s="9" t="inlineStr">
        <is>
          <t>Less: Restructuring Charges (Credits)</t>
        </is>
      </c>
      <c r="G21" s="38" t="n">
        <v>-4</v>
      </c>
      <c r="H21" s="38" t="n">
        <v>11</v>
      </c>
      <c r="I21" s="38" t="n">
        <v>0</v>
      </c>
      <c r="J21" s="38" t="n">
        <v>0</v>
      </c>
      <c r="K21" s="38" t="n">
        <v>0</v>
      </c>
      <c r="L21" s="38" t="n">
        <v>0</v>
      </c>
      <c r="M21" s="38" t="n">
        <v>0</v>
      </c>
      <c r="N21" s="38" t="n">
        <v>0</v>
      </c>
      <c r="O21" s="38" t="n">
        <v>0</v>
      </c>
      <c r="P21" s="38" t="n">
        <v>0</v>
      </c>
      <c r="R21" s="38" t="n">
        <v>-237</v>
      </c>
      <c r="S21" s="38" t="n">
        <v>-213</v>
      </c>
      <c r="T21" s="38" t="n">
        <v>-487</v>
      </c>
      <c r="U21" s="39">
        <f>H21+I21+J21+K21</f>
        <v/>
      </c>
      <c r="V21" s="39">
        <f>L21+M21+N21+O21</f>
        <v/>
      </c>
      <c r="W21" s="38" t="n">
        <v>0</v>
      </c>
      <c r="X21" s="38" t="n">
        <v>0</v>
      </c>
      <c r="Y21" s="38" t="n">
        <v>0</v>
      </c>
    </row>
    <row r="22">
      <c r="D22" s="9" t="inlineStr">
        <is>
          <t>Less: Impairment</t>
        </is>
      </c>
      <c r="G22" s="38" t="n">
        <v>-24</v>
      </c>
      <c r="H22" s="38" t="n">
        <v>0</v>
      </c>
      <c r="I22" s="38" t="n">
        <v>0</v>
      </c>
      <c r="J22" s="38" t="n">
        <v>0</v>
      </c>
      <c r="K22" s="38" t="n">
        <v>0</v>
      </c>
      <c r="L22" s="38" t="n">
        <v>0</v>
      </c>
      <c r="M22" s="38" t="n">
        <v>0</v>
      </c>
      <c r="N22" s="38" t="n">
        <v>0</v>
      </c>
      <c r="O22" s="38" t="n">
        <v>0</v>
      </c>
      <c r="P22" s="38" t="n">
        <v>0</v>
      </c>
      <c r="R22" s="38" t="n">
        <v>-3775</v>
      </c>
      <c r="S22" s="38" t="n">
        <v>-63</v>
      </c>
      <c r="T22" s="38" t="n">
        <v>-38</v>
      </c>
      <c r="U22" s="39">
        <f>H22+I22+J22+K22</f>
        <v/>
      </c>
      <c r="V22" s="39">
        <f>L22+M22+N22+O22</f>
        <v/>
      </c>
      <c r="W22" s="38" t="n">
        <v>0</v>
      </c>
      <c r="X22" s="38" t="n">
        <v>0</v>
      </c>
      <c r="Y22" s="38" t="n">
        <v>0</v>
      </c>
    </row>
    <row r="23">
      <c r="C23" s="13" t="inlineStr">
        <is>
          <t>Total Costs and Expenses</t>
        </is>
      </c>
      <c r="G23" s="40">
        <f>G16+SUM(G19:G22)</f>
        <v/>
      </c>
      <c r="H23" s="40">
        <f>H16+SUM(H19:H22)</f>
        <v/>
      </c>
      <c r="I23" s="40">
        <f>I16+SUM(I19:I22)</f>
        <v/>
      </c>
      <c r="J23" s="40">
        <f>J16+SUM(J19:J22)</f>
        <v/>
      </c>
      <c r="K23" s="40">
        <f>K16+SUM(K19:K22)</f>
        <v/>
      </c>
      <c r="L23" s="40">
        <f>L16+SUM(L19:L22)</f>
        <v/>
      </c>
      <c r="M23" s="40">
        <f>M16+SUM(M19:M22)</f>
        <v/>
      </c>
      <c r="N23" s="40">
        <f>N16+SUM(N19:N22)</f>
        <v/>
      </c>
      <c r="O23" s="40">
        <f>O16+SUM(O19:O22)</f>
        <v/>
      </c>
      <c r="P23" s="40">
        <f>P16+SUM(P19:P22)</f>
        <v/>
      </c>
      <c r="R23" s="40">
        <f>R16+SUM(R19:R22)</f>
        <v/>
      </c>
      <c r="S23" s="40">
        <f>S16+SUM(S19:S22)</f>
        <v/>
      </c>
      <c r="T23" s="40">
        <f>T16+SUM(T19:T22)</f>
        <v/>
      </c>
      <c r="U23" s="40">
        <f>U16+SUM(U19:U22)</f>
        <v/>
      </c>
      <c r="V23" s="40">
        <f>V16+SUM(V19:V22)</f>
        <v/>
      </c>
      <c r="W23" s="40">
        <f>W16+SUM(W19:W22)</f>
        <v/>
      </c>
      <c r="X23" s="40">
        <f>X16+SUM(X19:X22)</f>
        <v/>
      </c>
      <c r="Y23" s="40">
        <f>Y16+SUM(Y19:Y22)</f>
        <v/>
      </c>
    </row>
    <row r="24">
      <c r="D24" s="8" t="inlineStr">
        <is>
          <t>Reconciliation: variance vs. as-reported</t>
        </is>
      </c>
      <c r="G24" s="41">
        <f>IF(_reported!G10="","",G23-_reported!G10)</f>
        <v/>
      </c>
      <c r="H24" s="41">
        <f>IF(_reported!H10="","",H23-_reported!H10)</f>
        <v/>
      </c>
      <c r="R24" s="41">
        <f>IF(_reported!R10="","",R23-_reported!R10)</f>
        <v/>
      </c>
      <c r="S24" s="41">
        <f>IF(_reported!S10="","",S23-_reported!S10)</f>
        <v/>
      </c>
      <c r="T24" s="41">
        <f>IF(_reported!T10="","",T23-_reported!T10)</f>
        <v/>
      </c>
    </row>
    <row r="25"/>
    <row r="26">
      <c r="A26" s="12" t="inlineStr">
        <is>
          <t>x</t>
        </is>
      </c>
      <c r="B26" s="13" t="inlineStr">
        <is>
          <t>Income (Loss) from Operations</t>
        </is>
      </c>
      <c r="G26" s="40">
        <f>G13+G23</f>
        <v/>
      </c>
      <c r="H26" s="40">
        <f>H13+H23</f>
        <v/>
      </c>
      <c r="I26" s="40">
        <f>I13+I23</f>
        <v/>
      </c>
      <c r="J26" s="40">
        <f>J13+J23</f>
        <v/>
      </c>
      <c r="K26" s="40">
        <f>K13+K23</f>
        <v/>
      </c>
      <c r="L26" s="40">
        <f>L13+L23</f>
        <v/>
      </c>
      <c r="M26" s="40">
        <f>M13+M23</f>
        <v/>
      </c>
      <c r="N26" s="40">
        <f>N13+N23</f>
        <v/>
      </c>
      <c r="O26" s="40">
        <f>O13+O23</f>
        <v/>
      </c>
      <c r="P26" s="40">
        <f>P13+P23</f>
        <v/>
      </c>
      <c r="R26" s="40">
        <f>R13+R23</f>
        <v/>
      </c>
      <c r="S26" s="40">
        <f>S13+S23</f>
        <v/>
      </c>
      <c r="T26" s="40">
        <f>T13+T23</f>
        <v/>
      </c>
      <c r="U26" s="40">
        <f>U13+U23</f>
        <v/>
      </c>
      <c r="V26" s="40">
        <f>V13+V23</f>
        <v/>
      </c>
      <c r="W26" s="40">
        <f>W13+W23</f>
        <v/>
      </c>
      <c r="X26" s="40">
        <f>X13+X23</f>
        <v/>
      </c>
      <c r="Y26" s="40">
        <f>Y13+Y23</f>
        <v/>
      </c>
    </row>
    <row r="27">
      <c r="D27" s="8" t="inlineStr">
        <is>
          <t>Reconciliation: variance vs. as-reported</t>
        </is>
      </c>
      <c r="G27" s="41">
        <f>IF(_reported!G11="","",G26-_reported!G11)</f>
        <v/>
      </c>
      <c r="H27" s="41">
        <f>IF(_reported!H11="","",H26-_reported!H11)</f>
        <v/>
      </c>
      <c r="R27" s="41">
        <f>IF(_reported!R11="","",R26-_reported!R11)</f>
        <v/>
      </c>
      <c r="S27" s="41">
        <f>IF(_reported!S11="","",S26-_reported!S11)</f>
        <v/>
      </c>
      <c r="T27" s="41">
        <f>IF(_reported!T11="","",T26-_reported!T11)</f>
        <v/>
      </c>
    </row>
    <row r="28"/>
    <row r="29">
      <c r="C29" s="8" t="inlineStr">
        <is>
          <t>Memo: D&amp;A from CF (positive)</t>
        </is>
      </c>
      <c r="G29" s="36">
        <f>G228</f>
        <v/>
      </c>
      <c r="H29" s="36">
        <f>H228</f>
        <v/>
      </c>
      <c r="I29" s="36">
        <f>I228</f>
        <v/>
      </c>
      <c r="J29" s="36">
        <f>J228</f>
        <v/>
      </c>
      <c r="K29" s="36">
        <f>K228</f>
        <v/>
      </c>
      <c r="L29" s="36">
        <f>L228</f>
        <v/>
      </c>
      <c r="M29" s="36">
        <f>M228</f>
        <v/>
      </c>
      <c r="N29" s="36">
        <f>N228</f>
        <v/>
      </c>
      <c r="O29" s="36">
        <f>O228</f>
        <v/>
      </c>
      <c r="P29" s="36">
        <f>P228</f>
        <v/>
      </c>
      <c r="R29" s="36">
        <f>R228</f>
        <v/>
      </c>
      <c r="S29" s="36">
        <f>S228</f>
        <v/>
      </c>
      <c r="T29" s="36">
        <f>T228</f>
        <v/>
      </c>
      <c r="U29" s="36">
        <f>U228</f>
        <v/>
      </c>
      <c r="V29" s="36">
        <f>V228</f>
        <v/>
      </c>
      <c r="W29" s="36">
        <f>W228</f>
        <v/>
      </c>
      <c r="X29" s="36">
        <f>X228</f>
        <v/>
      </c>
      <c r="Y29" s="36">
        <f>Y228</f>
        <v/>
      </c>
    </row>
    <row r="30">
      <c r="A30" s="12" t="inlineStr">
        <is>
          <t>x</t>
        </is>
      </c>
      <c r="B30" s="13" t="inlineStr">
        <is>
          <t>EBITDA</t>
        </is>
      </c>
      <c r="G30" s="40">
        <f>G26+G29</f>
        <v/>
      </c>
      <c r="H30" s="40">
        <f>H26+H29</f>
        <v/>
      </c>
      <c r="I30" s="40">
        <f>I26+I29</f>
        <v/>
      </c>
      <c r="J30" s="40">
        <f>J26+J29</f>
        <v/>
      </c>
      <c r="K30" s="40">
        <f>K26+K29</f>
        <v/>
      </c>
      <c r="L30" s="40">
        <f>L26+L29</f>
        <v/>
      </c>
      <c r="M30" s="40">
        <f>M26+M29</f>
        <v/>
      </c>
      <c r="N30" s="40">
        <f>N26+N29</f>
        <v/>
      </c>
      <c r="O30" s="40">
        <f>O26+O29</f>
        <v/>
      </c>
      <c r="P30" s="40">
        <f>P26+P29</f>
        <v/>
      </c>
      <c r="R30" s="40">
        <f>R26+R29</f>
        <v/>
      </c>
      <c r="S30" s="40">
        <f>S26+S29</f>
        <v/>
      </c>
      <c r="T30" s="40">
        <f>T26+T29</f>
        <v/>
      </c>
      <c r="U30" s="40">
        <f>U26+U29</f>
        <v/>
      </c>
      <c r="V30" s="40">
        <f>V26+V29</f>
        <v/>
      </c>
      <c r="W30" s="40">
        <f>W26+W29</f>
        <v/>
      </c>
      <c r="X30" s="40">
        <f>X26+X29</f>
        <v/>
      </c>
      <c r="Y30" s="40">
        <f>Y26+Y29</f>
        <v/>
      </c>
      <c r="AA30" s="37">
        <f>IFERROR((Y30/T30)^(1/5)-1,"")</f>
        <v/>
      </c>
    </row>
    <row r="31"/>
    <row r="32">
      <c r="D32" s="9" t="inlineStr">
        <is>
          <t>Interest Income</t>
        </is>
      </c>
      <c r="G32" s="35" t="n">
        <v>117</v>
      </c>
      <c r="H32" s="35" t="n">
        <v>213</v>
      </c>
      <c r="I32" s="36">
        <f>I116/4*(H128+H129)</f>
        <v/>
      </c>
      <c r="J32" s="36">
        <f>J116/4*(I128+I129)</f>
        <v/>
      </c>
      <c r="K32" s="36">
        <f>K116/4*(J128+J129)</f>
        <v/>
      </c>
      <c r="L32" s="36">
        <f>L116/4*(K128+K129)</f>
        <v/>
      </c>
      <c r="M32" s="36">
        <f>M116/4*(L128+L129)</f>
        <v/>
      </c>
      <c r="N32" s="36">
        <f>N116/4*(M128+M129)</f>
        <v/>
      </c>
      <c r="O32" s="36">
        <f>O116/4*(N128+N129)</f>
        <v/>
      </c>
      <c r="P32" s="36">
        <f>P116/4*(O128+O129)</f>
        <v/>
      </c>
      <c r="R32" s="35" t="n">
        <v>249</v>
      </c>
      <c r="S32" s="35" t="n">
        <v>371</v>
      </c>
      <c r="T32" s="35" t="n">
        <v>492</v>
      </c>
      <c r="U32" s="36">
        <f>H32+I32+J32+K32</f>
        <v/>
      </c>
      <c r="V32" s="36">
        <f>L32+M32+N32+O32</f>
        <v/>
      </c>
      <c r="W32" s="36">
        <f>W116*(V128+V129)</f>
        <v/>
      </c>
      <c r="X32" s="36">
        <f>X116*(W128+W129)</f>
        <v/>
      </c>
      <c r="Y32" s="36">
        <f>Y116*(X128+X129)</f>
        <v/>
      </c>
    </row>
    <row r="33">
      <c r="D33" s="9" t="inlineStr">
        <is>
          <t>Interest Expense</t>
        </is>
      </c>
      <c r="G33" s="38" t="n">
        <v>-447</v>
      </c>
      <c r="H33" s="38" t="n">
        <v>-664</v>
      </c>
      <c r="I33" s="39">
        <f>-I117/4*H194</f>
        <v/>
      </c>
      <c r="J33" s="39">
        <f>-J117/4*I194</f>
        <v/>
      </c>
      <c r="K33" s="39">
        <f>-K117/4*J194</f>
        <v/>
      </c>
      <c r="L33" s="39">
        <f>-L117/4*K194</f>
        <v/>
      </c>
      <c r="M33" s="39">
        <f>-M117/4*L194</f>
        <v/>
      </c>
      <c r="N33" s="39">
        <f>-N117/4*M194</f>
        <v/>
      </c>
      <c r="O33" s="39">
        <f>-O117/4*N194</f>
        <v/>
      </c>
      <c r="P33" s="39">
        <f>-P117/4*O194</f>
        <v/>
      </c>
      <c r="R33" s="38" t="n">
        <v>-1693</v>
      </c>
      <c r="S33" s="38" t="n">
        <v>-1580</v>
      </c>
      <c r="T33" s="38" t="n">
        <v>-1945</v>
      </c>
      <c r="U33" s="39">
        <f>H33+I33+J33+K33</f>
        <v/>
      </c>
      <c r="V33" s="39">
        <f>L33+M33+N33+O33</f>
        <v/>
      </c>
      <c r="W33" s="39">
        <f>-W117*V194</f>
        <v/>
      </c>
      <c r="X33" s="39">
        <f>-X117*W194</f>
        <v/>
      </c>
      <c r="Y33" s="39">
        <f>-Y117*X194</f>
        <v/>
      </c>
    </row>
    <row r="34">
      <c r="D34" s="9" t="inlineStr">
        <is>
          <t>Other Income (Expense), Net</t>
        </is>
      </c>
      <c r="G34" s="38" t="n">
        <v>-211</v>
      </c>
      <c r="H34" s="38" t="n">
        <v>-1876</v>
      </c>
      <c r="I34" s="38" t="n">
        <v>0</v>
      </c>
      <c r="J34" s="38" t="n">
        <v>0</v>
      </c>
      <c r="K34" s="38" t="n">
        <v>0</v>
      </c>
      <c r="L34" s="38" t="n">
        <v>0</v>
      </c>
      <c r="M34" s="38" t="n">
        <v>0</v>
      </c>
      <c r="N34" s="38" t="n">
        <v>0</v>
      </c>
      <c r="O34" s="38" t="n">
        <v>0</v>
      </c>
      <c r="P34" s="38" t="n">
        <v>0</v>
      </c>
      <c r="R34" s="38" t="n">
        <v>-42</v>
      </c>
      <c r="S34" s="38" t="n">
        <v>985</v>
      </c>
      <c r="T34" s="38" t="n">
        <v>-177</v>
      </c>
      <c r="U34" s="39">
        <f>H34+I34+J34+K34</f>
        <v/>
      </c>
      <c r="V34" s="39">
        <f>L34+M34+N34+O34</f>
        <v/>
      </c>
      <c r="W34" s="38" t="n">
        <v>0</v>
      </c>
      <c r="X34" s="38" t="n">
        <v>0</v>
      </c>
      <c r="Y34" s="38" t="n">
        <v>0</v>
      </c>
    </row>
    <row r="35">
      <c r="C35" s="13" t="inlineStr">
        <is>
          <t>Income (Loss) Before Income Taxes</t>
        </is>
      </c>
      <c r="G35" s="40">
        <f>G26+SUM(G32:G34)</f>
        <v/>
      </c>
      <c r="H35" s="40">
        <f>H26+SUM(H32:H34)</f>
        <v/>
      </c>
      <c r="I35" s="40">
        <f>I26+SUM(I32:I34)</f>
        <v/>
      </c>
      <c r="J35" s="40">
        <f>J26+SUM(J32:J34)</f>
        <v/>
      </c>
      <c r="K35" s="40">
        <f>K26+SUM(K32:K34)</f>
        <v/>
      </c>
      <c r="L35" s="40">
        <f>L26+SUM(L32:L34)</f>
        <v/>
      </c>
      <c r="M35" s="40">
        <f>M26+SUM(M32:M34)</f>
        <v/>
      </c>
      <c r="N35" s="40">
        <f>N26+SUM(N32:N34)</f>
        <v/>
      </c>
      <c r="O35" s="40">
        <f>O26+SUM(O32:O34)</f>
        <v/>
      </c>
      <c r="P35" s="40">
        <f>P26+SUM(P32:P34)</f>
        <v/>
      </c>
      <c r="R35" s="40">
        <f>R26+SUM(R32:R34)</f>
        <v/>
      </c>
      <c r="S35" s="40">
        <f>S26+SUM(S32:S34)</f>
        <v/>
      </c>
      <c r="T35" s="40">
        <f>T26+SUM(T32:T34)</f>
        <v/>
      </c>
      <c r="U35" s="40">
        <f>U26+SUM(U32:U34)</f>
        <v/>
      </c>
      <c r="V35" s="40">
        <f>V26+SUM(V32:V34)</f>
        <v/>
      </c>
      <c r="W35" s="40">
        <f>W26+SUM(W32:W34)</f>
        <v/>
      </c>
      <c r="X35" s="40">
        <f>X26+SUM(X32:X34)</f>
        <v/>
      </c>
      <c r="Y35" s="40">
        <f>Y26+SUM(Y32:Y34)</f>
        <v/>
      </c>
    </row>
    <row r="36">
      <c r="D36" s="8" t="inlineStr">
        <is>
          <t>Reconciliation: variance vs. as-reported</t>
        </is>
      </c>
      <c r="G36" s="41">
        <f>IF(_reported!G12="","",G35-_reported!G12)</f>
        <v/>
      </c>
      <c r="H36" s="41">
        <f>IF(_reported!H12="","",H35-_reported!H12)</f>
        <v/>
      </c>
      <c r="R36" s="41">
        <f>IF(_reported!R12="","",R35-_reported!R12)</f>
        <v/>
      </c>
      <c r="S36" s="41">
        <f>IF(_reported!S12="","",S35-_reported!S12)</f>
        <v/>
      </c>
      <c r="T36" s="41">
        <f>IF(_reported!T12="","",T35-_reported!T12)</f>
        <v/>
      </c>
    </row>
    <row r="37"/>
    <row r="38">
      <c r="D38" s="9" t="inlineStr">
        <is>
          <t>Less: Provision for (Benefit from) Income Taxes</t>
        </is>
      </c>
      <c r="G38" s="35" t="n">
        <v>-14</v>
      </c>
      <c r="H38" s="35" t="n">
        <v>-6</v>
      </c>
      <c r="I38" s="36">
        <f>-I35*I80</f>
        <v/>
      </c>
      <c r="J38" s="36">
        <f>-J35*J80</f>
        <v/>
      </c>
      <c r="K38" s="36">
        <f>-K35*K80</f>
        <v/>
      </c>
      <c r="L38" s="36">
        <f>-L35*L80</f>
        <v/>
      </c>
      <c r="M38" s="36">
        <f>-M35*M80</f>
        <v/>
      </c>
      <c r="N38" s="36">
        <f>-N35*N80</f>
        <v/>
      </c>
      <c r="O38" s="36">
        <f>-O35*O80</f>
        <v/>
      </c>
      <c r="P38" s="36">
        <f>-P35*P80</f>
        <v/>
      </c>
      <c r="R38" s="35" t="n">
        <v>363</v>
      </c>
      <c r="S38" s="35" t="n">
        <v>549</v>
      </c>
      <c r="T38" s="35" t="n">
        <v>-718</v>
      </c>
      <c r="U38" s="36">
        <f>H38+I38+J38+K38</f>
        <v/>
      </c>
      <c r="V38" s="36">
        <f>L38+M38+N38+O38</f>
        <v/>
      </c>
      <c r="W38" s="36">
        <f>-W35*W80</f>
        <v/>
      </c>
      <c r="X38" s="36">
        <f>-X35*X80</f>
        <v/>
      </c>
      <c r="Y38" s="36">
        <f>-Y35*Y80</f>
        <v/>
      </c>
    </row>
    <row r="39">
      <c r="A39" s="12" t="inlineStr">
        <is>
          <t>x</t>
        </is>
      </c>
      <c r="B39" s="13" t="inlineStr">
        <is>
          <t>Net Income (Loss)</t>
        </is>
      </c>
      <c r="G39" s="40">
        <f>G35+G38</f>
        <v/>
      </c>
      <c r="H39" s="40">
        <f>H35+H38</f>
        <v/>
      </c>
      <c r="I39" s="40">
        <f>I35+I38</f>
        <v/>
      </c>
      <c r="J39" s="40">
        <f>J35+J38</f>
        <v/>
      </c>
      <c r="K39" s="40">
        <f>K35+K38</f>
        <v/>
      </c>
      <c r="L39" s="40">
        <f>L35+L38</f>
        <v/>
      </c>
      <c r="M39" s="40">
        <f>M35+M38</f>
        <v/>
      </c>
      <c r="N39" s="40">
        <f>N35+N38</f>
        <v/>
      </c>
      <c r="O39" s="40">
        <f>O35+O38</f>
        <v/>
      </c>
      <c r="P39" s="40">
        <f>P35+P38</f>
        <v/>
      </c>
      <c r="R39" s="40">
        <f>R35+R38</f>
        <v/>
      </c>
      <c r="S39" s="40">
        <f>S35+S38</f>
        <v/>
      </c>
      <c r="T39" s="40">
        <f>T35+T38</f>
        <v/>
      </c>
      <c r="U39" s="40">
        <f>U35+U38</f>
        <v/>
      </c>
      <c r="V39" s="40">
        <f>V35+V38</f>
        <v/>
      </c>
      <c r="W39" s="40">
        <f>W35+W38</f>
        <v/>
      </c>
      <c r="X39" s="40">
        <f>X35+X38</f>
        <v/>
      </c>
      <c r="Y39" s="40">
        <f>Y35+Y38</f>
        <v/>
      </c>
    </row>
    <row r="40">
      <c r="D40" s="8" t="inlineStr">
        <is>
          <t>Reconciliation: variance vs. as-reported</t>
        </is>
      </c>
      <c r="G40" s="41">
        <f>IF(_reported!G13="","",G39-_reported!G13)</f>
        <v/>
      </c>
      <c r="H40" s="41">
        <f>IF(_reported!H13="","",H39-_reported!H13)</f>
        <v/>
      </c>
      <c r="R40" s="41">
        <f>IF(_reported!R13="","",R39-_reported!R13)</f>
        <v/>
      </c>
      <c r="S40" s="41">
        <f>IF(_reported!S13="","",S39-_reported!S13)</f>
        <v/>
      </c>
      <c r="T40" s="41">
        <f>IF(_reported!T13="","",T39-_reported!T13)</f>
        <v/>
      </c>
    </row>
    <row r="41"/>
    <row r="42">
      <c r="D42" s="9" t="inlineStr">
        <is>
          <t>Less: Deemed Dividend on Preferred</t>
        </is>
      </c>
      <c r="G42" s="35" t="n">
        <v>0</v>
      </c>
      <c r="H42" s="35" t="n">
        <v>-671</v>
      </c>
      <c r="I42" s="35" t="n">
        <v>0</v>
      </c>
      <c r="J42" s="35" t="n">
        <v>0</v>
      </c>
      <c r="K42" s="35" t="n">
        <v>0</v>
      </c>
      <c r="L42" s="35" t="n">
        <v>0</v>
      </c>
      <c r="M42" s="35" t="n">
        <v>0</v>
      </c>
      <c r="N42" s="35" t="n">
        <v>0</v>
      </c>
      <c r="O42" s="35" t="n">
        <v>0</v>
      </c>
      <c r="P42" s="35" t="n">
        <v>0</v>
      </c>
      <c r="R42" s="35" t="n">
        <v>0</v>
      </c>
      <c r="S42" s="35" t="n">
        <v>-80</v>
      </c>
      <c r="T42" s="35" t="n">
        <v>0</v>
      </c>
      <c r="U42" s="36">
        <f>H42+I42+J42+K42</f>
        <v/>
      </c>
      <c r="V42" s="36">
        <f>L42+M42+N42+O42</f>
        <v/>
      </c>
      <c r="W42" s="35" t="n">
        <v>0</v>
      </c>
      <c r="X42" s="35" t="n">
        <v>0</v>
      </c>
      <c r="Y42" s="35" t="n">
        <v>0</v>
      </c>
    </row>
    <row r="43">
      <c r="D43" s="9" t="inlineStr">
        <is>
          <t>Less: Earnings Allocated to Participating Securities</t>
        </is>
      </c>
      <c r="G43" s="38" t="n">
        <v>0</v>
      </c>
      <c r="H43" s="38" t="n">
        <v>0</v>
      </c>
      <c r="I43" s="38" t="n">
        <v>0</v>
      </c>
      <c r="J43" s="38" t="n">
        <v>0</v>
      </c>
      <c r="K43" s="38" t="n">
        <v>0</v>
      </c>
      <c r="L43" s="38" t="n">
        <v>0</v>
      </c>
      <c r="M43" s="38" t="n">
        <v>0</v>
      </c>
      <c r="N43" s="38" t="n">
        <v>0</v>
      </c>
      <c r="O43" s="38" t="n">
        <v>0</v>
      </c>
      <c r="P43" s="38" t="n">
        <v>0</v>
      </c>
      <c r="R43" s="38" t="n">
        <v>0</v>
      </c>
      <c r="S43" s="38" t="n">
        <v>-693</v>
      </c>
      <c r="T43" s="38" t="n">
        <v>0</v>
      </c>
      <c r="U43" s="39">
        <f>H43+I43+J43+K43</f>
        <v/>
      </c>
      <c r="V43" s="39">
        <f>L43+M43+N43+O43</f>
        <v/>
      </c>
      <c r="W43" s="38" t="n">
        <v>0</v>
      </c>
      <c r="X43" s="38" t="n">
        <v>0</v>
      </c>
      <c r="Y43" s="38" t="n">
        <v>0</v>
      </c>
    </row>
    <row r="44">
      <c r="C44" s="13" t="inlineStr">
        <is>
          <t>NI Attributable to Common — Basic</t>
        </is>
      </c>
      <c r="G44" s="40">
        <f>G39+G42+G43</f>
        <v/>
      </c>
      <c r="H44" s="40">
        <f>H39+H42+H43</f>
        <v/>
      </c>
      <c r="I44" s="40">
        <f>I39+I42+I43</f>
        <v/>
      </c>
      <c r="J44" s="40">
        <f>J39+J42+J43</f>
        <v/>
      </c>
      <c r="K44" s="40">
        <f>K39+K42+K43</f>
        <v/>
      </c>
      <c r="L44" s="40">
        <f>L39+L42+L43</f>
        <v/>
      </c>
      <c r="M44" s="40">
        <f>M39+M42+M43</f>
        <v/>
      </c>
      <c r="N44" s="40">
        <f>N39+N42+N43</f>
        <v/>
      </c>
      <c r="O44" s="40">
        <f>O39+O42+O43</f>
        <v/>
      </c>
      <c r="P44" s="40">
        <f>P39+P42+P43</f>
        <v/>
      </c>
      <c r="R44" s="40">
        <f>R39+R42+R43</f>
        <v/>
      </c>
      <c r="S44" s="40">
        <f>S39+S42+S43</f>
        <v/>
      </c>
      <c r="T44" s="40">
        <f>T39+T42+T43</f>
        <v/>
      </c>
      <c r="U44" s="40">
        <f>U39+U42+U43</f>
        <v/>
      </c>
      <c r="V44" s="40">
        <f>V39+V42+V43</f>
        <v/>
      </c>
      <c r="W44" s="40">
        <f>W39+W42+W43</f>
        <v/>
      </c>
      <c r="X44" s="40">
        <f>X39+X42+X43</f>
        <v/>
      </c>
      <c r="Y44" s="40">
        <f>Y39+Y42+Y43</f>
        <v/>
      </c>
    </row>
    <row r="45">
      <c r="D45" s="8" t="inlineStr">
        <is>
          <t>Reconciliation: variance vs. as-reported</t>
        </is>
      </c>
      <c r="G45" s="41">
        <f>IF(_reported!G14="","",G44-_reported!G14)</f>
        <v/>
      </c>
      <c r="H45" s="41">
        <f>IF(_reported!H14="","",H44-_reported!H14)</f>
        <v/>
      </c>
      <c r="R45" s="41">
        <f>IF(_reported!R14="","",R44-_reported!R14)</f>
        <v/>
      </c>
      <c r="S45" s="41">
        <f>IF(_reported!S14="","",S44-_reported!S14)</f>
        <v/>
      </c>
      <c r="T45" s="41">
        <f>IF(_reported!T14="","",T44-_reported!T14)</f>
        <v/>
      </c>
    </row>
    <row r="46">
      <c r="D46" s="9" t="inlineStr">
        <is>
          <t>Add: Assumed Conversion Effects (Diluted)</t>
        </is>
      </c>
      <c r="G46" s="38" t="n">
        <v>0</v>
      </c>
      <c r="H46" s="38" t="n">
        <v>0</v>
      </c>
      <c r="I46" s="38" t="n">
        <v>0</v>
      </c>
      <c r="J46" s="38" t="n">
        <v>0</v>
      </c>
      <c r="K46" s="38" t="n">
        <v>0</v>
      </c>
      <c r="L46" s="38" t="n">
        <v>0</v>
      </c>
      <c r="M46" s="38" t="n">
        <v>0</v>
      </c>
      <c r="N46" s="38" t="n">
        <v>0</v>
      </c>
      <c r="O46" s="38" t="n">
        <v>0</v>
      </c>
      <c r="P46" s="38" t="n">
        <v>0</v>
      </c>
      <c r="R46" s="38" t="n">
        <v>0</v>
      </c>
      <c r="S46" s="38" t="n">
        <v>3</v>
      </c>
      <c r="T46" s="38" t="n">
        <v>0</v>
      </c>
      <c r="U46" s="39">
        <f>H46+I46+J46+K46</f>
        <v/>
      </c>
      <c r="V46" s="39">
        <f>L46+M46+N46+O46</f>
        <v/>
      </c>
      <c r="W46" s="38" t="n">
        <v>0</v>
      </c>
      <c r="X46" s="38" t="n">
        <v>0</v>
      </c>
      <c r="Y46" s="38" t="n">
        <v>0</v>
      </c>
    </row>
    <row r="47">
      <c r="C47" s="13" t="inlineStr">
        <is>
          <t>NI Attributable to Common — Diluted</t>
        </is>
      </c>
      <c r="G47" s="40">
        <f>G44+G46</f>
        <v/>
      </c>
      <c r="H47" s="40">
        <f>H44+H46</f>
        <v/>
      </c>
      <c r="I47" s="40">
        <f>I44+I46</f>
        <v/>
      </c>
      <c r="J47" s="40">
        <f>J44+J46</f>
        <v/>
      </c>
      <c r="K47" s="40">
        <f>K44+K46</f>
        <v/>
      </c>
      <c r="L47" s="40">
        <f>L44+L46</f>
        <v/>
      </c>
      <c r="M47" s="40">
        <f>M44+M46</f>
        <v/>
      </c>
      <c r="N47" s="40">
        <f>N44+N46</f>
        <v/>
      </c>
      <c r="O47" s="40">
        <f>O44+O46</f>
        <v/>
      </c>
      <c r="P47" s="40">
        <f>P44+P46</f>
        <v/>
      </c>
      <c r="R47" s="40">
        <f>R44+R46</f>
        <v/>
      </c>
      <c r="S47" s="40">
        <f>S44+S46</f>
        <v/>
      </c>
      <c r="T47" s="40">
        <f>T44+T46</f>
        <v/>
      </c>
      <c r="U47" s="40">
        <f>U44+U46</f>
        <v/>
      </c>
      <c r="V47" s="40">
        <f>V44+V46</f>
        <v/>
      </c>
      <c r="W47" s="40">
        <f>W44+W46</f>
        <v/>
      </c>
      <c r="X47" s="40">
        <f>X44+X46</f>
        <v/>
      </c>
      <c r="Y47" s="40">
        <f>Y44+Y46</f>
        <v/>
      </c>
    </row>
    <row r="48">
      <c r="D48" s="8" t="inlineStr">
        <is>
          <t>Reconciliation: variance vs. as-reported</t>
        </is>
      </c>
      <c r="G48" s="41">
        <f>IF(_reported!G15="","",G47-_reported!G15)</f>
        <v/>
      </c>
      <c r="H48" s="41">
        <f>IF(_reported!H15="","",H47-_reported!H15)</f>
        <v/>
      </c>
      <c r="R48" s="41">
        <f>IF(_reported!R15="","",R47-_reported!R15)</f>
        <v/>
      </c>
      <c r="S48" s="41">
        <f>IF(_reported!S15="","",S47-_reported!S15)</f>
        <v/>
      </c>
      <c r="T48" s="41">
        <f>IF(_reported!T15="","",T47-_reported!T15)</f>
        <v/>
      </c>
    </row>
    <row r="49"/>
    <row r="50">
      <c r="C50" s="9" t="inlineStr">
        <is>
          <t>Weighted Avg Shares — Basic (M)</t>
        </is>
      </c>
      <c r="G50" s="38" t="n">
        <v>2875</v>
      </c>
      <c r="H50" s="38" t="n">
        <v>3884</v>
      </c>
      <c r="I50" s="38" t="n">
        <v>12700</v>
      </c>
      <c r="J50" s="39">
        <f>I50*1.004</f>
        <v/>
      </c>
      <c r="K50" s="39">
        <f>J50*1.004</f>
        <v/>
      </c>
      <c r="L50" s="39">
        <f>K50*1.004</f>
        <v/>
      </c>
      <c r="M50" s="39">
        <f>L50*1.004</f>
        <v/>
      </c>
      <c r="N50" s="39">
        <f>M50*1.004</f>
        <v/>
      </c>
      <c r="O50" s="39">
        <f>N50*1.004</f>
        <v/>
      </c>
      <c r="P50" s="39">
        <f>O50*1.004</f>
        <v/>
      </c>
      <c r="R50" s="38" t="n">
        <v>2759</v>
      </c>
      <c r="S50" s="38" t="n">
        <v>2848</v>
      </c>
      <c r="T50" s="38" t="n">
        <v>2926</v>
      </c>
      <c r="U50" s="39">
        <f>AVERAGE(H50:K50)</f>
        <v/>
      </c>
      <c r="V50" s="39">
        <f>AVERAGE(L50:O50)</f>
        <v/>
      </c>
      <c r="W50" s="39">
        <f>V50*1.016</f>
        <v/>
      </c>
      <c r="X50" s="39">
        <f>W50*1.016</f>
        <v/>
      </c>
      <c r="Y50" s="39">
        <f>X50*1.016</f>
        <v/>
      </c>
    </row>
    <row r="51">
      <c r="C51" s="9" t="inlineStr">
        <is>
          <t>Weighted Avg Shares — Diluted (M)</t>
        </is>
      </c>
      <c r="G51" s="38" t="n">
        <v>2875</v>
      </c>
      <c r="H51" s="38" t="n">
        <v>3884</v>
      </c>
      <c r="I51" s="38" t="n">
        <v>12900</v>
      </c>
      <c r="J51" s="39">
        <f>I51*1.004</f>
        <v/>
      </c>
      <c r="K51" s="39">
        <f>J51*1.004</f>
        <v/>
      </c>
      <c r="L51" s="39">
        <f>K51*1.004</f>
        <v/>
      </c>
      <c r="M51" s="39">
        <f>L51*1.004</f>
        <v/>
      </c>
      <c r="N51" s="39">
        <f>M51*1.004</f>
        <v/>
      </c>
      <c r="O51" s="39">
        <f>N51*1.004</f>
        <v/>
      </c>
      <c r="P51" s="39">
        <f>O51*1.004</f>
        <v/>
      </c>
      <c r="R51" s="38" t="n">
        <v>2759</v>
      </c>
      <c r="S51" s="38" t="n">
        <v>9956</v>
      </c>
      <c r="T51" s="38" t="n">
        <v>2926</v>
      </c>
      <c r="U51" s="39">
        <f>AVERAGE(H51:K51)</f>
        <v/>
      </c>
      <c r="V51" s="39">
        <f>AVERAGE(L51:O51)</f>
        <v/>
      </c>
      <c r="W51" s="39">
        <f>V51*1.016</f>
        <v/>
      </c>
      <c r="X51" s="39">
        <f>W51*1.016</f>
        <v/>
      </c>
      <c r="Y51" s="39">
        <f>X51*1.016</f>
        <v/>
      </c>
    </row>
    <row r="52">
      <c r="A52" s="12" t="inlineStr">
        <is>
          <t>x</t>
        </is>
      </c>
      <c r="C52" s="13" t="inlineStr">
        <is>
          <t>EPS — Basic</t>
        </is>
      </c>
      <c r="G52" s="17">
        <f>IFERROR(G44/G50,"")</f>
        <v/>
      </c>
      <c r="H52" s="17">
        <f>IFERROR(H44/H50,"")</f>
        <v/>
      </c>
      <c r="I52" s="17">
        <f>IFERROR(I44/I50,"")</f>
        <v/>
      </c>
      <c r="J52" s="17">
        <f>IFERROR(J44/J50,"")</f>
        <v/>
      </c>
      <c r="K52" s="17">
        <f>IFERROR(K44/K50,"")</f>
        <v/>
      </c>
      <c r="L52" s="17">
        <f>IFERROR(L44/L50,"")</f>
        <v/>
      </c>
      <c r="M52" s="17">
        <f>IFERROR(M44/M50,"")</f>
        <v/>
      </c>
      <c r="N52" s="17">
        <f>IFERROR(N44/N50,"")</f>
        <v/>
      </c>
      <c r="O52" s="17">
        <f>IFERROR(O44/O50,"")</f>
        <v/>
      </c>
      <c r="P52" s="17">
        <f>IFERROR(P44/P50,"")</f>
        <v/>
      </c>
      <c r="R52" s="17">
        <f>IFERROR(R44/R50,"")</f>
        <v/>
      </c>
      <c r="S52" s="17">
        <f>IFERROR(S44/S50,"")</f>
        <v/>
      </c>
      <c r="T52" s="17">
        <f>IFERROR(T44/T50,"")</f>
        <v/>
      </c>
      <c r="U52" s="17">
        <f>IFERROR(U44/U50,"")</f>
        <v/>
      </c>
      <c r="V52" s="17">
        <f>IFERROR(V44/V50,"")</f>
        <v/>
      </c>
      <c r="W52" s="17">
        <f>IFERROR(W44/W50,"")</f>
        <v/>
      </c>
      <c r="X52" s="17">
        <f>IFERROR(X44/X50,"")</f>
        <v/>
      </c>
      <c r="Y52" s="17">
        <f>IFERROR(Y44/Y50,"")</f>
        <v/>
      </c>
    </row>
    <row r="53">
      <c r="D53" s="8" t="inlineStr">
        <is>
          <t>Reconciliation: variance vs. as-reported</t>
        </is>
      </c>
      <c r="G53" s="41">
        <f>IF(_reported!G16="","",G52-_reported!G16)</f>
        <v/>
      </c>
      <c r="H53" s="41">
        <f>IF(_reported!H16="","",H52-_reported!H16)</f>
        <v/>
      </c>
      <c r="R53" s="41">
        <f>IF(_reported!R16="","",R52-_reported!R16)</f>
        <v/>
      </c>
      <c r="S53" s="41">
        <f>IF(_reported!S16="","",S52-_reported!S16)</f>
        <v/>
      </c>
      <c r="T53" s="41">
        <f>IF(_reported!T16="","",T52-_reported!T16)</f>
        <v/>
      </c>
    </row>
    <row r="54">
      <c r="A54" s="12" t="inlineStr">
        <is>
          <t>x</t>
        </is>
      </c>
      <c r="C54" s="13" t="inlineStr">
        <is>
          <t>EPS — Diluted</t>
        </is>
      </c>
      <c r="G54" s="17">
        <f>IFERROR(G47/G51,"")</f>
        <v/>
      </c>
      <c r="H54" s="17">
        <f>IFERROR(H47/H51,"")</f>
        <v/>
      </c>
      <c r="I54" s="17">
        <f>IFERROR(I47/I51,"")</f>
        <v/>
      </c>
      <c r="J54" s="17">
        <f>IFERROR(J47/J51,"")</f>
        <v/>
      </c>
      <c r="K54" s="17">
        <f>IFERROR(K47/K51,"")</f>
        <v/>
      </c>
      <c r="L54" s="17">
        <f>IFERROR(L47/L51,"")</f>
        <v/>
      </c>
      <c r="M54" s="17">
        <f>IFERROR(M47/M51,"")</f>
        <v/>
      </c>
      <c r="N54" s="17">
        <f>IFERROR(N47/N51,"")</f>
        <v/>
      </c>
      <c r="O54" s="17">
        <f>IFERROR(O47/O51,"")</f>
        <v/>
      </c>
      <c r="P54" s="17">
        <f>IFERROR(P47/P51,"")</f>
        <v/>
      </c>
      <c r="R54" s="17">
        <f>IFERROR(R47/R51,"")</f>
        <v/>
      </c>
      <c r="S54" s="17">
        <f>IFERROR(S47/S51,"")</f>
        <v/>
      </c>
      <c r="T54" s="17">
        <f>IFERROR(T47/T51,"")</f>
        <v/>
      </c>
      <c r="U54" s="17">
        <f>IFERROR(U47/U51,"")</f>
        <v/>
      </c>
      <c r="V54" s="17">
        <f>IFERROR(V47/V51,"")</f>
        <v/>
      </c>
      <c r="W54" s="17">
        <f>IFERROR(W47/W51,"")</f>
        <v/>
      </c>
      <c r="X54" s="17">
        <f>IFERROR(X47/X51,"")</f>
        <v/>
      </c>
      <c r="Y54" s="17">
        <f>IFERROR(Y47/Y51,"")</f>
        <v/>
      </c>
    </row>
    <row r="55">
      <c r="D55" s="8" t="inlineStr">
        <is>
          <t>Reconciliation: variance vs. as-reported</t>
        </is>
      </c>
      <c r="G55" s="41">
        <f>IF(_reported!G17="","",G54-_reported!G17)</f>
        <v/>
      </c>
      <c r="H55" s="41">
        <f>IF(_reported!H17="","",H54-_reported!H17)</f>
        <v/>
      </c>
      <c r="R55" s="41">
        <f>IF(_reported!R17="","",R54-_reported!R17)</f>
        <v/>
      </c>
      <c r="S55" s="41">
        <f>IF(_reported!S17="","",S54-_reported!S17)</f>
        <v/>
      </c>
      <c r="T55" s="41">
        <f>IF(_reported!T17="","",T54-_reported!T17)</f>
        <v/>
      </c>
    </row>
    <row r="56"/>
    <row r="57"/>
    <row r="58">
      <c r="B58" s="7" t="inlineStr">
        <is>
          <t>Ratios &amp; Assumptions</t>
        </is>
      </c>
      <c r="C58" s="7" t="n"/>
      <c r="D58" s="7" t="n"/>
      <c r="E58" s="7" t="n"/>
      <c r="F58" s="7" t="n"/>
      <c r="G58" s="7" t="n"/>
      <c r="H58" s="7" t="n"/>
      <c r="I58" s="7" t="n"/>
      <c r="J58" s="7" t="n"/>
      <c r="K58" s="7" t="n"/>
      <c r="L58" s="7" t="n"/>
      <c r="M58" s="7" t="n"/>
      <c r="N58" s="7" t="n"/>
      <c r="O58" s="7" t="n"/>
      <c r="P58" s="7" t="n"/>
      <c r="R58" s="7" t="n"/>
      <c r="S58" s="7" t="n"/>
      <c r="T58" s="7" t="n"/>
      <c r="U58" s="7" t="n"/>
      <c r="V58" s="7" t="n"/>
      <c r="W58" s="7" t="n"/>
      <c r="X58" s="7" t="n"/>
      <c r="Y58" s="7" t="n"/>
    </row>
    <row r="59"/>
    <row r="60">
      <c r="D60" s="9" t="inlineStr">
        <is>
          <t>YoY Total Revenue Growth</t>
        </is>
      </c>
      <c r="H60" s="37">
        <f>IFERROR(H13/G13-1,"")</f>
        <v/>
      </c>
      <c r="K60" s="37">
        <f>IFERROR(K13/G13-1,"")</f>
        <v/>
      </c>
      <c r="L60" s="37">
        <f>IFERROR(L13/H13-1,"")</f>
        <v/>
      </c>
      <c r="M60" s="37">
        <f>IFERROR(M13/I13-1,"")</f>
        <v/>
      </c>
      <c r="N60" s="37">
        <f>IFERROR(N13/J13-1,"")</f>
        <v/>
      </c>
      <c r="O60" s="37">
        <f>IFERROR(O13/K13-1,"")</f>
        <v/>
      </c>
      <c r="P60" s="37">
        <f>IFERROR(P13/L13-1,"")</f>
        <v/>
      </c>
      <c r="S60" s="37">
        <f>IFERROR(S13/R13-1,"")</f>
        <v/>
      </c>
      <c r="T60" s="37">
        <f>IFERROR(T13/S13-1,"")</f>
        <v/>
      </c>
      <c r="U60" s="37">
        <f>IFERROR(U13/T13-1,"")</f>
        <v/>
      </c>
      <c r="V60" s="37">
        <f>IFERROR(V13/U13-1,"")</f>
        <v/>
      </c>
      <c r="W60" s="37">
        <f>IFERROR(W13/V13-1,"")</f>
        <v/>
      </c>
      <c r="X60" s="37">
        <f>IFERROR(X13/W13-1,"")</f>
        <v/>
      </c>
      <c r="Y60" s="37">
        <f>IFERROR(Y13/X13-1,"")</f>
        <v/>
      </c>
    </row>
    <row r="61">
      <c r="D61" s="9" t="inlineStr">
        <is>
          <t>YoY Space Revenue Growth</t>
        </is>
      </c>
      <c r="H61" s="37">
        <f>IFERROR(H10/G10-1,"")</f>
        <v/>
      </c>
      <c r="K61" s="37">
        <f>IFERROR(K10/G10-1,"")</f>
        <v/>
      </c>
      <c r="L61" s="37">
        <f>IFERROR(L10/H10-1,"")</f>
        <v/>
      </c>
      <c r="M61" s="37">
        <f>IFERROR(M10/I10-1,"")</f>
        <v/>
      </c>
      <c r="N61" s="37">
        <f>IFERROR(N10/J10-1,"")</f>
        <v/>
      </c>
      <c r="O61" s="37">
        <f>IFERROR(O10/K10-1,"")</f>
        <v/>
      </c>
      <c r="P61" s="37">
        <f>IFERROR(P10/L10-1,"")</f>
        <v/>
      </c>
      <c r="S61" s="37">
        <f>IFERROR(S10/R10-1,"")</f>
        <v/>
      </c>
      <c r="T61" s="37">
        <f>IFERROR(T10/S10-1,"")</f>
        <v/>
      </c>
      <c r="U61" s="37">
        <f>IFERROR(U10/T10-1,"")</f>
        <v/>
      </c>
      <c r="V61" s="37">
        <f>IFERROR(V10/U10-1,"")</f>
        <v/>
      </c>
      <c r="W61" s="37">
        <f>IFERROR(W10/V10-1,"")</f>
        <v/>
      </c>
      <c r="X61" s="37">
        <f>IFERROR(X10/W10-1,"")</f>
        <v/>
      </c>
      <c r="Y61" s="37">
        <f>IFERROR(Y10/X10-1,"")</f>
        <v/>
      </c>
    </row>
    <row r="62">
      <c r="D62" s="9" t="inlineStr">
        <is>
          <t>YoY Connectivity Revenue Growth</t>
        </is>
      </c>
      <c r="H62" s="37">
        <f>IFERROR(H11/G11-1,"")</f>
        <v/>
      </c>
      <c r="K62" s="37">
        <f>IFERROR(K11/G11-1,"")</f>
        <v/>
      </c>
      <c r="L62" s="37">
        <f>IFERROR(L11/H11-1,"")</f>
        <v/>
      </c>
      <c r="M62" s="37">
        <f>IFERROR(M11/I11-1,"")</f>
        <v/>
      </c>
      <c r="N62" s="37">
        <f>IFERROR(N11/J11-1,"")</f>
        <v/>
      </c>
      <c r="O62" s="37">
        <f>IFERROR(O11/K11-1,"")</f>
        <v/>
      </c>
      <c r="P62" s="37">
        <f>IFERROR(P11/L11-1,"")</f>
        <v/>
      </c>
      <c r="S62" s="37">
        <f>IFERROR(S11/R11-1,"")</f>
        <v/>
      </c>
      <c r="T62" s="37">
        <f>IFERROR(T11/S11-1,"")</f>
        <v/>
      </c>
      <c r="U62" s="37">
        <f>IFERROR(U11/T11-1,"")</f>
        <v/>
      </c>
      <c r="V62" s="37">
        <f>IFERROR(V11/U11-1,"")</f>
        <v/>
      </c>
      <c r="W62" s="37">
        <f>IFERROR(W11/V11-1,"")</f>
        <v/>
      </c>
      <c r="X62" s="37">
        <f>IFERROR(X11/W11-1,"")</f>
        <v/>
      </c>
      <c r="Y62" s="37">
        <f>IFERROR(Y11/X11-1,"")</f>
        <v/>
      </c>
    </row>
    <row r="63">
      <c r="D63" s="9" t="inlineStr">
        <is>
          <t>YoY AI Revenue Growth</t>
        </is>
      </c>
      <c r="H63" s="37">
        <f>IFERROR(H12/G12-1,"")</f>
        <v/>
      </c>
      <c r="K63" s="37">
        <f>IFERROR(K12/G12-1,"")</f>
        <v/>
      </c>
      <c r="L63" s="37">
        <f>IFERROR(L12/H12-1,"")</f>
        <v/>
      </c>
      <c r="M63" s="37">
        <f>IFERROR(M12/I12-1,"")</f>
        <v/>
      </c>
      <c r="N63" s="37">
        <f>IFERROR(N12/J12-1,"")</f>
        <v/>
      </c>
      <c r="O63" s="37">
        <f>IFERROR(O12/K12-1,"")</f>
        <v/>
      </c>
      <c r="P63" s="37">
        <f>IFERROR(P12/L12-1,"")</f>
        <v/>
      </c>
      <c r="S63" s="37">
        <f>IFERROR(S12/R12-1,"")</f>
        <v/>
      </c>
      <c r="T63" s="37">
        <f>IFERROR(T12/S12-1,"")</f>
        <v/>
      </c>
      <c r="U63" s="37">
        <f>IFERROR(U12/T12-1,"")</f>
        <v/>
      </c>
      <c r="V63" s="37">
        <f>IFERROR(V12/U12-1,"")</f>
        <v/>
      </c>
      <c r="W63" s="37">
        <f>IFERROR(W12/V12-1,"")</f>
        <v/>
      </c>
      <c r="X63" s="37">
        <f>IFERROR(X12/W12-1,"")</f>
        <v/>
      </c>
      <c r="Y63" s="37">
        <f>IFERROR(Y12/X12-1,"")</f>
        <v/>
      </c>
    </row>
    <row r="64"/>
    <row r="65">
      <c r="D65" s="9" t="inlineStr">
        <is>
          <t>Space Revenue (as % of Total Revenue)</t>
        </is>
      </c>
      <c r="G65" s="37">
        <f>IFERROR(G10/G13,"")</f>
        <v/>
      </c>
      <c r="H65" s="37">
        <f>IFERROR(H10/H13,"")</f>
        <v/>
      </c>
      <c r="I65" s="37">
        <f>IFERROR(I10/I13,"")</f>
        <v/>
      </c>
      <c r="J65" s="37">
        <f>IFERROR(J10/J13,"")</f>
        <v/>
      </c>
      <c r="K65" s="37">
        <f>IFERROR(K10/K13,"")</f>
        <v/>
      </c>
      <c r="L65" s="37">
        <f>IFERROR(L10/L13,"")</f>
        <v/>
      </c>
      <c r="M65" s="37">
        <f>IFERROR(M10/M13,"")</f>
        <v/>
      </c>
      <c r="N65" s="37">
        <f>IFERROR(N10/N13,"")</f>
        <v/>
      </c>
      <c r="O65" s="37">
        <f>IFERROR(O10/O13,"")</f>
        <v/>
      </c>
      <c r="P65" s="37">
        <f>IFERROR(P10/P13,"")</f>
        <v/>
      </c>
      <c r="R65" s="37">
        <f>IFERROR(R10/R13,"")</f>
        <v/>
      </c>
      <c r="S65" s="37">
        <f>IFERROR(S10/S13,"")</f>
        <v/>
      </c>
      <c r="T65" s="37">
        <f>IFERROR(T10/T13,"")</f>
        <v/>
      </c>
      <c r="U65" s="37">
        <f>IFERROR(U10/U13,"")</f>
        <v/>
      </c>
      <c r="V65" s="37">
        <f>IFERROR(V10/V13,"")</f>
        <v/>
      </c>
      <c r="W65" s="37">
        <f>IFERROR(W10/W13,"")</f>
        <v/>
      </c>
      <c r="X65" s="37">
        <f>IFERROR(X10/X13,"")</f>
        <v/>
      </c>
      <c r="Y65" s="37">
        <f>IFERROR(Y10/Y13,"")</f>
        <v/>
      </c>
    </row>
    <row r="66">
      <c r="D66" s="9" t="inlineStr">
        <is>
          <t>Connectivity Revenue (as % of Total Revenue)</t>
        </is>
      </c>
      <c r="G66" s="37">
        <f>IFERROR(G11/G13,"")</f>
        <v/>
      </c>
      <c r="H66" s="37">
        <f>IFERROR(H11/H13,"")</f>
        <v/>
      </c>
      <c r="I66" s="37">
        <f>IFERROR(I11/I13,"")</f>
        <v/>
      </c>
      <c r="J66" s="37">
        <f>IFERROR(J11/J13,"")</f>
        <v/>
      </c>
      <c r="K66" s="37">
        <f>IFERROR(K11/K13,"")</f>
        <v/>
      </c>
      <c r="L66" s="37">
        <f>IFERROR(L11/L13,"")</f>
        <v/>
      </c>
      <c r="M66" s="37">
        <f>IFERROR(M11/M13,"")</f>
        <v/>
      </c>
      <c r="N66" s="37">
        <f>IFERROR(N11/N13,"")</f>
        <v/>
      </c>
      <c r="O66" s="37">
        <f>IFERROR(O11/O13,"")</f>
        <v/>
      </c>
      <c r="P66" s="37">
        <f>IFERROR(P11/P13,"")</f>
        <v/>
      </c>
      <c r="R66" s="37">
        <f>IFERROR(R11/R13,"")</f>
        <v/>
      </c>
      <c r="S66" s="37">
        <f>IFERROR(S11/S13,"")</f>
        <v/>
      </c>
      <c r="T66" s="37">
        <f>IFERROR(T11/T13,"")</f>
        <v/>
      </c>
      <c r="U66" s="37">
        <f>IFERROR(U11/U13,"")</f>
        <v/>
      </c>
      <c r="V66" s="37">
        <f>IFERROR(V11/V13,"")</f>
        <v/>
      </c>
      <c r="W66" s="37">
        <f>IFERROR(W11/W13,"")</f>
        <v/>
      </c>
      <c r="X66" s="37">
        <f>IFERROR(X11/X13,"")</f>
        <v/>
      </c>
      <c r="Y66" s="37">
        <f>IFERROR(Y11/Y13,"")</f>
        <v/>
      </c>
    </row>
    <row r="67">
      <c r="D67" s="9" t="inlineStr">
        <is>
          <t>AI Revenue (as % of Total Revenue)</t>
        </is>
      </c>
      <c r="G67" s="37">
        <f>IFERROR(G12/G13,"")</f>
        <v/>
      </c>
      <c r="H67" s="37">
        <f>IFERROR(H12/H13,"")</f>
        <v/>
      </c>
      <c r="I67" s="37">
        <f>IFERROR(I12/I13,"")</f>
        <v/>
      </c>
      <c r="J67" s="37">
        <f>IFERROR(J12/J13,"")</f>
        <v/>
      </c>
      <c r="K67" s="37">
        <f>IFERROR(K12/K13,"")</f>
        <v/>
      </c>
      <c r="L67" s="37">
        <f>IFERROR(L12/L13,"")</f>
        <v/>
      </c>
      <c r="M67" s="37">
        <f>IFERROR(M12/M13,"")</f>
        <v/>
      </c>
      <c r="N67" s="37">
        <f>IFERROR(N12/N13,"")</f>
        <v/>
      </c>
      <c r="O67" s="37">
        <f>IFERROR(O12/O13,"")</f>
        <v/>
      </c>
      <c r="P67" s="37">
        <f>IFERROR(P12/P13,"")</f>
        <v/>
      </c>
      <c r="R67" s="37">
        <f>IFERROR(R12/R13,"")</f>
        <v/>
      </c>
      <c r="S67" s="37">
        <f>IFERROR(S12/S13,"")</f>
        <v/>
      </c>
      <c r="T67" s="37">
        <f>IFERROR(T12/T13,"")</f>
        <v/>
      </c>
      <c r="U67" s="37">
        <f>IFERROR(U12/U13,"")</f>
        <v/>
      </c>
      <c r="V67" s="37">
        <f>IFERROR(V12/V13,"")</f>
        <v/>
      </c>
      <c r="W67" s="37">
        <f>IFERROR(W12/W13,"")</f>
        <v/>
      </c>
      <c r="X67" s="37">
        <f>IFERROR(X12/X13,"")</f>
        <v/>
      </c>
      <c r="Y67" s="37">
        <f>IFERROR(Y12/Y13,"")</f>
        <v/>
      </c>
    </row>
    <row r="68"/>
    <row r="69">
      <c r="D69" s="9" t="inlineStr">
        <is>
          <t>Gross Margin (memo)</t>
        </is>
      </c>
      <c r="G69" s="37">
        <f>IFERROR(G17/G13,"")</f>
        <v/>
      </c>
      <c r="H69" s="37">
        <f>IFERROR(H17/H13,"")</f>
        <v/>
      </c>
      <c r="I69" s="37">
        <f>IFERROR(I17/I13,"")</f>
        <v/>
      </c>
      <c r="J69" s="37">
        <f>IFERROR(J17/J13,"")</f>
        <v/>
      </c>
      <c r="K69" s="37">
        <f>IFERROR(K17/K13,"")</f>
        <v/>
      </c>
      <c r="L69" s="37">
        <f>IFERROR(L17/L13,"")</f>
        <v/>
      </c>
      <c r="M69" s="37">
        <f>IFERROR(M17/M13,"")</f>
        <v/>
      </c>
      <c r="N69" s="37">
        <f>IFERROR(N17/N13,"")</f>
        <v/>
      </c>
      <c r="O69" s="37">
        <f>IFERROR(O17/O13,"")</f>
        <v/>
      </c>
      <c r="P69" s="37">
        <f>IFERROR(P17/P13,"")</f>
        <v/>
      </c>
      <c r="R69" s="37">
        <f>IFERROR(R17/R13,"")</f>
        <v/>
      </c>
      <c r="S69" s="37">
        <f>IFERROR(S17/S13,"")</f>
        <v/>
      </c>
      <c r="T69" s="37">
        <f>IFERROR(T17/T13,"")</f>
        <v/>
      </c>
      <c r="U69" s="37">
        <f>IFERROR(U17/U13,"")</f>
        <v/>
      </c>
      <c r="V69" s="37">
        <f>IFERROR(V17/V13,"")</f>
        <v/>
      </c>
      <c r="W69" s="37">
        <f>IFERROR(W17/W13,"")</f>
        <v/>
      </c>
      <c r="X69" s="37">
        <f>IFERROR(X17/X13,"")</f>
        <v/>
      </c>
      <c r="Y69" s="37">
        <f>IFERROR(Y17/Y13,"")</f>
        <v/>
      </c>
    </row>
    <row r="70">
      <c r="D70" s="9" t="inlineStr">
        <is>
          <t>Cost of Revenue (% of Revenue) [DRIVER]</t>
        </is>
      </c>
      <c r="G70" s="37">
        <f>IFERROR(-G16/G13,"")</f>
        <v/>
      </c>
      <c r="H70" s="37">
        <f>IFERROR(-H16/H13,"")</f>
        <v/>
      </c>
      <c r="I70" s="42" t="n">
        <v>0.5</v>
      </c>
      <c r="J70" s="42" t="n">
        <v>0.495</v>
      </c>
      <c r="K70" s="42" t="n">
        <v>0.49</v>
      </c>
      <c r="L70" s="42" t="n">
        <v>0.485</v>
      </c>
      <c r="M70" s="42" t="n">
        <v>0.48</v>
      </c>
      <c r="N70" s="42" t="n">
        <v>0.475</v>
      </c>
      <c r="O70" s="42" t="n">
        <v>0.47</v>
      </c>
      <c r="P70" s="42" t="n">
        <v>0.465</v>
      </c>
      <c r="R70" s="37">
        <f>IFERROR(-R16/R13,"")</f>
        <v/>
      </c>
      <c r="S70" s="37">
        <f>IFERROR(-S16/S13,"")</f>
        <v/>
      </c>
      <c r="T70" s="37">
        <f>IFERROR(-T16/T13,"")</f>
        <v/>
      </c>
      <c r="U70" s="37">
        <f>IFERROR(-U16/U13,"")</f>
        <v/>
      </c>
      <c r="V70" s="37">
        <f>IFERROR(-V16/V13,"")</f>
        <v/>
      </c>
      <c r="W70" s="42" t="n">
        <v>0.455</v>
      </c>
      <c r="X70" s="42" t="n">
        <v>0.445</v>
      </c>
      <c r="Y70" s="42" t="n">
        <v>0.44</v>
      </c>
      <c r="AB70" s="42" t="n">
        <v>-0.01</v>
      </c>
      <c r="AC70" s="8" t="inlineStr">
        <is>
          <t>Starlink scale: COGS% glides 50%→44% by FY30</t>
        </is>
      </c>
    </row>
    <row r="71">
      <c r="D71" s="9" t="inlineStr">
        <is>
          <t>R&amp;D (% of Revenue) [DRIVER]</t>
        </is>
      </c>
      <c r="G71" s="37">
        <f>IFERROR(-G19/G13,"")</f>
        <v/>
      </c>
      <c r="H71" s="37">
        <f>IFERROR(-H19/H13,"")</f>
        <v/>
      </c>
      <c r="I71" s="42" t="n">
        <v>0.62</v>
      </c>
      <c r="J71" s="42" t="n">
        <v>0.58</v>
      </c>
      <c r="K71" s="42" t="n">
        <v>0.54</v>
      </c>
      <c r="L71" s="42" t="n">
        <v>0.5</v>
      </c>
      <c r="M71" s="42" t="n">
        <v>0.47</v>
      </c>
      <c r="N71" s="42" t="n">
        <v>0.44</v>
      </c>
      <c r="O71" s="42" t="n">
        <v>0.42</v>
      </c>
      <c r="P71" s="42" t="n">
        <v>0.4</v>
      </c>
      <c r="R71" s="37">
        <f>IFERROR(-R19/R13,"")</f>
        <v/>
      </c>
      <c r="S71" s="37">
        <f>IFERROR(-S19/S13,"")</f>
        <v/>
      </c>
      <c r="T71" s="37">
        <f>IFERROR(-T19/T13,"")</f>
        <v/>
      </c>
      <c r="U71" s="37">
        <f>IFERROR(-U19/U13,"")</f>
        <v/>
      </c>
      <c r="V71" s="37">
        <f>IFERROR(-V19/V13,"")</f>
        <v/>
      </c>
      <c r="W71" s="42" t="n">
        <v>0.36</v>
      </c>
      <c r="X71" s="42" t="n">
        <v>0.32</v>
      </c>
      <c r="Y71" s="42" t="n">
        <v>0.29</v>
      </c>
      <c r="AB71" s="42" t="n">
        <v>-0.05</v>
      </c>
      <c r="AC71" s="8" t="inlineStr">
        <is>
          <t>Compute buildout peaks FY26-27; R&amp;D% 62%→29%</t>
        </is>
      </c>
    </row>
    <row r="72">
      <c r="D72" s="9" t="inlineStr">
        <is>
          <t>SG&amp;A (% of Revenue) [DRIVER]</t>
        </is>
      </c>
      <c r="G72" s="37">
        <f>IFERROR(-G20/G13,"")</f>
        <v/>
      </c>
      <c r="H72" s="37">
        <f>IFERROR(-H20/H13,"")</f>
        <v/>
      </c>
      <c r="I72" s="42" t="n">
        <v>0.155</v>
      </c>
      <c r="J72" s="42" t="n">
        <v>0.15</v>
      </c>
      <c r="K72" s="42" t="n">
        <v>0.145</v>
      </c>
      <c r="L72" s="42" t="n">
        <v>0.14</v>
      </c>
      <c r="M72" s="42" t="n">
        <v>0.138</v>
      </c>
      <c r="N72" s="42" t="n">
        <v>0.135</v>
      </c>
      <c r="O72" s="42" t="n">
        <v>0.132</v>
      </c>
      <c r="P72" s="42" t="n">
        <v>0.13</v>
      </c>
      <c r="R72" s="37">
        <f>IFERROR(-R20/R13,"")</f>
        <v/>
      </c>
      <c r="S72" s="37">
        <f>IFERROR(-S20/S13,"")</f>
        <v/>
      </c>
      <c r="T72" s="37">
        <f>IFERROR(-T20/T13,"")</f>
        <v/>
      </c>
      <c r="U72" s="37">
        <f>IFERROR(-U20/U13,"")</f>
        <v/>
      </c>
      <c r="V72" s="37">
        <f>IFERROR(-V20/V13,"")</f>
        <v/>
      </c>
      <c r="W72" s="42" t="n">
        <v>0.125</v>
      </c>
      <c r="X72" s="42" t="n">
        <v>0.12</v>
      </c>
      <c r="Y72" s="42" t="n">
        <v>0.115</v>
      </c>
      <c r="AB72" s="42" t="n">
        <v>-0.0075</v>
      </c>
      <c r="AC72" s="8" t="inlineStr">
        <is>
          <t>Opex leverage</t>
        </is>
      </c>
    </row>
    <row r="73">
      <c r="D73" s="9" t="inlineStr">
        <is>
          <t>Restructuring (% of Revenue)</t>
        </is>
      </c>
      <c r="G73" s="37">
        <f>IFERROR(-G21/G13,"")</f>
        <v/>
      </c>
      <c r="H73" s="37">
        <f>IFERROR(-H21/H13,"")</f>
        <v/>
      </c>
      <c r="I73" s="37">
        <f>IFERROR(-I21/I13,"")</f>
        <v/>
      </c>
      <c r="J73" s="37">
        <f>IFERROR(-J21/J13,"")</f>
        <v/>
      </c>
      <c r="K73" s="37">
        <f>IFERROR(-K21/K13,"")</f>
        <v/>
      </c>
      <c r="L73" s="37">
        <f>IFERROR(-L21/L13,"")</f>
        <v/>
      </c>
      <c r="M73" s="37">
        <f>IFERROR(-M21/M13,"")</f>
        <v/>
      </c>
      <c r="N73" s="37">
        <f>IFERROR(-N21/N13,"")</f>
        <v/>
      </c>
      <c r="O73" s="37">
        <f>IFERROR(-O21/O13,"")</f>
        <v/>
      </c>
      <c r="P73" s="37">
        <f>IFERROR(-P21/P13,"")</f>
        <v/>
      </c>
      <c r="R73" s="37">
        <f>IFERROR(-R21/R13,"")</f>
        <v/>
      </c>
      <c r="S73" s="37">
        <f>IFERROR(-S21/S13,"")</f>
        <v/>
      </c>
      <c r="T73" s="37">
        <f>IFERROR(-T21/T13,"")</f>
        <v/>
      </c>
      <c r="U73" s="37">
        <f>IFERROR(-U21/U13,"")</f>
        <v/>
      </c>
      <c r="V73" s="37">
        <f>IFERROR(-V21/V13,"")</f>
        <v/>
      </c>
      <c r="W73" s="37">
        <f>IFERROR(-W21/W13,"")</f>
        <v/>
      </c>
      <c r="X73" s="37">
        <f>IFERROR(-X21/X13,"")</f>
        <v/>
      </c>
      <c r="Y73" s="37">
        <f>IFERROR(-Y21/Y13,"")</f>
        <v/>
      </c>
    </row>
    <row r="74">
      <c r="D74" s="9" t="inlineStr">
        <is>
          <t>Impairment (% of Revenue)</t>
        </is>
      </c>
      <c r="G74" s="37">
        <f>IFERROR(-G22/G13,"")</f>
        <v/>
      </c>
      <c r="H74" s="37">
        <f>IFERROR(-H22/H13,"")</f>
        <v/>
      </c>
      <c r="I74" s="37">
        <f>IFERROR(-I22/I13,"")</f>
        <v/>
      </c>
      <c r="J74" s="37">
        <f>IFERROR(-J22/J13,"")</f>
        <v/>
      </c>
      <c r="K74" s="37">
        <f>IFERROR(-K22/K13,"")</f>
        <v/>
      </c>
      <c r="L74" s="37">
        <f>IFERROR(-L22/L13,"")</f>
        <v/>
      </c>
      <c r="M74" s="37">
        <f>IFERROR(-M22/M13,"")</f>
        <v/>
      </c>
      <c r="N74" s="37">
        <f>IFERROR(-N22/N13,"")</f>
        <v/>
      </c>
      <c r="O74" s="37">
        <f>IFERROR(-O22/O13,"")</f>
        <v/>
      </c>
      <c r="P74" s="37">
        <f>IFERROR(-P22/P13,"")</f>
        <v/>
      </c>
      <c r="R74" s="37">
        <f>IFERROR(-R22/R13,"")</f>
        <v/>
      </c>
      <c r="S74" s="37">
        <f>IFERROR(-S22/S13,"")</f>
        <v/>
      </c>
      <c r="T74" s="37">
        <f>IFERROR(-T22/T13,"")</f>
        <v/>
      </c>
      <c r="U74" s="37">
        <f>IFERROR(-U22/U13,"")</f>
        <v/>
      </c>
      <c r="V74" s="37">
        <f>IFERROR(-V22/V13,"")</f>
        <v/>
      </c>
      <c r="W74" s="37">
        <f>IFERROR(-W22/W13,"")</f>
        <v/>
      </c>
      <c r="X74" s="37">
        <f>IFERROR(-X22/X13,"")</f>
        <v/>
      </c>
      <c r="Y74" s="37">
        <f>IFERROR(-Y22/Y13,"")</f>
        <v/>
      </c>
    </row>
    <row r="75">
      <c r="D75" s="9" t="inlineStr">
        <is>
          <t>Total Costs and Expenses (% of Revenue)</t>
        </is>
      </c>
      <c r="G75" s="37">
        <f>IFERROR(-G23/G13,"")</f>
        <v/>
      </c>
      <c r="H75" s="37">
        <f>IFERROR(-H23/H13,"")</f>
        <v/>
      </c>
      <c r="I75" s="37">
        <f>IFERROR(-I23/I13,"")</f>
        <v/>
      </c>
      <c r="J75" s="37">
        <f>IFERROR(-J23/J13,"")</f>
        <v/>
      </c>
      <c r="K75" s="37">
        <f>IFERROR(-K23/K13,"")</f>
        <v/>
      </c>
      <c r="L75" s="37">
        <f>IFERROR(-L23/L13,"")</f>
        <v/>
      </c>
      <c r="M75" s="37">
        <f>IFERROR(-M23/M13,"")</f>
        <v/>
      </c>
      <c r="N75" s="37">
        <f>IFERROR(-N23/N13,"")</f>
        <v/>
      </c>
      <c r="O75" s="37">
        <f>IFERROR(-O23/O13,"")</f>
        <v/>
      </c>
      <c r="P75" s="37">
        <f>IFERROR(-P23/P13,"")</f>
        <v/>
      </c>
      <c r="R75" s="37">
        <f>IFERROR(-R23/R13,"")</f>
        <v/>
      </c>
      <c r="S75" s="37">
        <f>IFERROR(-S23/S13,"")</f>
        <v/>
      </c>
      <c r="T75" s="37">
        <f>IFERROR(-T23/T13,"")</f>
        <v/>
      </c>
      <c r="U75" s="37">
        <f>IFERROR(-U23/U13,"")</f>
        <v/>
      </c>
      <c r="V75" s="37">
        <f>IFERROR(-V23/V13,"")</f>
        <v/>
      </c>
      <c r="W75" s="37">
        <f>IFERROR(-W23/W13,"")</f>
        <v/>
      </c>
      <c r="X75" s="37">
        <f>IFERROR(-X23/X13,"")</f>
        <v/>
      </c>
      <c r="Y75" s="37">
        <f>IFERROR(-Y23/Y13,"")</f>
        <v/>
      </c>
    </row>
    <row r="76"/>
    <row r="77">
      <c r="D77" s="9" t="inlineStr">
        <is>
          <t>Operating Margin</t>
        </is>
      </c>
      <c r="G77" s="37">
        <f>IFERROR(G26/G13,"")</f>
        <v/>
      </c>
      <c r="H77" s="37">
        <f>IFERROR(H26/H13,"")</f>
        <v/>
      </c>
      <c r="I77" s="37">
        <f>IFERROR(I26/I13,"")</f>
        <v/>
      </c>
      <c r="J77" s="37">
        <f>IFERROR(J26/J13,"")</f>
        <v/>
      </c>
      <c r="K77" s="37">
        <f>IFERROR(K26/K13,"")</f>
        <v/>
      </c>
      <c r="L77" s="37">
        <f>IFERROR(L26/L13,"")</f>
        <v/>
      </c>
      <c r="M77" s="37">
        <f>IFERROR(M26/M13,"")</f>
        <v/>
      </c>
      <c r="N77" s="37">
        <f>IFERROR(N26/N13,"")</f>
        <v/>
      </c>
      <c r="O77" s="37">
        <f>IFERROR(O26/O13,"")</f>
        <v/>
      </c>
      <c r="P77" s="37">
        <f>IFERROR(P26/P13,"")</f>
        <v/>
      </c>
      <c r="R77" s="37">
        <f>IFERROR(R26/R13,"")</f>
        <v/>
      </c>
      <c r="S77" s="37">
        <f>IFERROR(S26/S13,"")</f>
        <v/>
      </c>
      <c r="T77" s="37">
        <f>IFERROR(T26/T13,"")</f>
        <v/>
      </c>
      <c r="U77" s="37">
        <f>IFERROR(U26/U13,"")</f>
        <v/>
      </c>
      <c r="V77" s="37">
        <f>IFERROR(V26/V13,"")</f>
        <v/>
      </c>
      <c r="W77" s="37">
        <f>IFERROR(W26/W13,"")</f>
        <v/>
      </c>
      <c r="X77" s="37">
        <f>IFERROR(X26/X13,"")</f>
        <v/>
      </c>
      <c r="Y77" s="37">
        <f>IFERROR(Y26/Y13,"")</f>
        <v/>
      </c>
    </row>
    <row r="78">
      <c r="D78" s="9" t="inlineStr">
        <is>
          <t>EBITDA Margin</t>
        </is>
      </c>
      <c r="G78" s="37">
        <f>IFERROR(G30/G13,"")</f>
        <v/>
      </c>
      <c r="H78" s="37">
        <f>IFERROR(H30/H13,"")</f>
        <v/>
      </c>
      <c r="I78" s="37">
        <f>IFERROR(I30/I13,"")</f>
        <v/>
      </c>
      <c r="J78" s="37">
        <f>IFERROR(J30/J13,"")</f>
        <v/>
      </c>
      <c r="K78" s="37">
        <f>IFERROR(K30/K13,"")</f>
        <v/>
      </c>
      <c r="L78" s="37">
        <f>IFERROR(L30/L13,"")</f>
        <v/>
      </c>
      <c r="M78" s="37">
        <f>IFERROR(M30/M13,"")</f>
        <v/>
      </c>
      <c r="N78" s="37">
        <f>IFERROR(N30/N13,"")</f>
        <v/>
      </c>
      <c r="O78" s="37">
        <f>IFERROR(O30/O13,"")</f>
        <v/>
      </c>
      <c r="P78" s="37">
        <f>IFERROR(P30/P13,"")</f>
        <v/>
      </c>
      <c r="R78" s="37">
        <f>IFERROR(R30/R13,"")</f>
        <v/>
      </c>
      <c r="S78" s="37">
        <f>IFERROR(S30/S13,"")</f>
        <v/>
      </c>
      <c r="T78" s="37">
        <f>IFERROR(T30/T13,"")</f>
        <v/>
      </c>
      <c r="U78" s="37">
        <f>IFERROR(U30/U13,"")</f>
        <v/>
      </c>
      <c r="V78" s="37">
        <f>IFERROR(V30/V13,"")</f>
        <v/>
      </c>
      <c r="W78" s="37">
        <f>IFERROR(W30/W13,"")</f>
        <v/>
      </c>
      <c r="X78" s="37">
        <f>IFERROR(X30/X13,"")</f>
        <v/>
      </c>
      <c r="Y78" s="37">
        <f>IFERROR(Y30/Y13,"")</f>
        <v/>
      </c>
    </row>
    <row r="79">
      <c r="D79" s="9" t="inlineStr">
        <is>
          <t>Pretax Margin</t>
        </is>
      </c>
      <c r="G79" s="37">
        <f>IFERROR(G35/G13,"")</f>
        <v/>
      </c>
      <c r="H79" s="37">
        <f>IFERROR(H35/H13,"")</f>
        <v/>
      </c>
      <c r="I79" s="37">
        <f>IFERROR(I35/I13,"")</f>
        <v/>
      </c>
      <c r="J79" s="37">
        <f>IFERROR(J35/J13,"")</f>
        <v/>
      </c>
      <c r="K79" s="37">
        <f>IFERROR(K35/K13,"")</f>
        <v/>
      </c>
      <c r="L79" s="37">
        <f>IFERROR(L35/L13,"")</f>
        <v/>
      </c>
      <c r="M79" s="37">
        <f>IFERROR(M35/M13,"")</f>
        <v/>
      </c>
      <c r="N79" s="37">
        <f>IFERROR(N35/N13,"")</f>
        <v/>
      </c>
      <c r="O79" s="37">
        <f>IFERROR(O35/O13,"")</f>
        <v/>
      </c>
      <c r="P79" s="37">
        <f>IFERROR(P35/P13,"")</f>
        <v/>
      </c>
      <c r="R79" s="37">
        <f>IFERROR(R35/R13,"")</f>
        <v/>
      </c>
      <c r="S79" s="37">
        <f>IFERROR(S35/S13,"")</f>
        <v/>
      </c>
      <c r="T79" s="37">
        <f>IFERROR(T35/T13,"")</f>
        <v/>
      </c>
      <c r="U79" s="37">
        <f>IFERROR(U35/U13,"")</f>
        <v/>
      </c>
      <c r="V79" s="37">
        <f>IFERROR(V35/V13,"")</f>
        <v/>
      </c>
      <c r="W79" s="37">
        <f>IFERROR(W35/W13,"")</f>
        <v/>
      </c>
      <c r="X79" s="37">
        <f>IFERROR(X35/X13,"")</f>
        <v/>
      </c>
      <c r="Y79" s="37">
        <f>IFERROR(Y35/Y13,"")</f>
        <v/>
      </c>
    </row>
    <row r="80">
      <c r="D80" s="9" t="inlineStr">
        <is>
          <t>Effective Tax Rate [DRIVER]</t>
        </is>
      </c>
      <c r="G80" s="37">
        <f>IFERROR(-G38/G35,"")</f>
        <v/>
      </c>
      <c r="H80" s="37">
        <f>IFERROR(-H38/H35,"")</f>
        <v/>
      </c>
      <c r="I80" s="42" t="n">
        <v>-0.015</v>
      </c>
      <c r="J80" s="42" t="n">
        <v>-0.015</v>
      </c>
      <c r="K80" s="42" t="n">
        <v>-0.015</v>
      </c>
      <c r="L80" s="42" t="n">
        <v>-0.015</v>
      </c>
      <c r="M80" s="42" t="n">
        <v>-0.015</v>
      </c>
      <c r="N80" s="42" t="n">
        <v>-0.015</v>
      </c>
      <c r="O80" s="42" t="n">
        <v>-0.015</v>
      </c>
      <c r="P80" s="42" t="n">
        <v>-0.015</v>
      </c>
      <c r="R80" s="37">
        <f>IFERROR(-R38/R35,"")</f>
        <v/>
      </c>
      <c r="S80" s="37">
        <f>IFERROR(-S38/S35,"")</f>
        <v/>
      </c>
      <c r="T80" s="37">
        <f>IFERROR(-T38/T35,"")</f>
        <v/>
      </c>
      <c r="U80" s="37">
        <f>IFERROR(-U38/U35,"")</f>
        <v/>
      </c>
      <c r="V80" s="37">
        <f>IFERROR(-V38/V35,"")</f>
        <v/>
      </c>
      <c r="W80" s="42" t="n">
        <v>0.15</v>
      </c>
      <c r="X80" s="42" t="n">
        <v>0.18</v>
      </c>
      <c r="Y80" s="42" t="n">
        <v>0.18</v>
      </c>
    </row>
    <row r="81">
      <c r="D81" s="9" t="inlineStr">
        <is>
          <t>Net Margin</t>
        </is>
      </c>
      <c r="G81" s="37">
        <f>IFERROR(G39/G13,"")</f>
        <v/>
      </c>
      <c r="H81" s="37">
        <f>IFERROR(H39/H13,"")</f>
        <v/>
      </c>
      <c r="I81" s="37">
        <f>IFERROR(I39/I13,"")</f>
        <v/>
      </c>
      <c r="J81" s="37">
        <f>IFERROR(J39/J13,"")</f>
        <v/>
      </c>
      <c r="K81" s="37">
        <f>IFERROR(K39/K13,"")</f>
        <v/>
      </c>
      <c r="L81" s="37">
        <f>IFERROR(L39/L13,"")</f>
        <v/>
      </c>
      <c r="M81" s="37">
        <f>IFERROR(M39/M13,"")</f>
        <v/>
      </c>
      <c r="N81" s="37">
        <f>IFERROR(N39/N13,"")</f>
        <v/>
      </c>
      <c r="O81" s="37">
        <f>IFERROR(O39/O13,"")</f>
        <v/>
      </c>
      <c r="P81" s="37">
        <f>IFERROR(P39/P13,"")</f>
        <v/>
      </c>
      <c r="R81" s="37">
        <f>IFERROR(R39/R13,"")</f>
        <v/>
      </c>
      <c r="S81" s="37">
        <f>IFERROR(S39/S13,"")</f>
        <v/>
      </c>
      <c r="T81" s="37">
        <f>IFERROR(T39/T13,"")</f>
        <v/>
      </c>
      <c r="U81" s="37">
        <f>IFERROR(U39/U13,"")</f>
        <v/>
      </c>
      <c r="V81" s="37">
        <f>IFERROR(V39/V13,"")</f>
        <v/>
      </c>
      <c r="W81" s="37">
        <f>IFERROR(W39/W13,"")</f>
        <v/>
      </c>
      <c r="X81" s="37">
        <f>IFERROR(X39/X13,"")</f>
        <v/>
      </c>
      <c r="Y81" s="37">
        <f>IFERROR(Y39/Y13,"")</f>
        <v/>
      </c>
    </row>
    <row r="82"/>
    <row r="83">
      <c r="D83" s="8" t="inlineStr">
        <is>
          <t>Memo: SBC from CF (positive)</t>
        </is>
      </c>
      <c r="G83" s="36">
        <f>G229</f>
        <v/>
      </c>
      <c r="H83" s="36">
        <f>H229</f>
        <v/>
      </c>
      <c r="I83" s="36">
        <f>I229</f>
        <v/>
      </c>
      <c r="J83" s="36">
        <f>J229</f>
        <v/>
      </c>
      <c r="K83" s="36">
        <f>K229</f>
        <v/>
      </c>
      <c r="L83" s="36">
        <f>L229</f>
        <v/>
      </c>
      <c r="M83" s="36">
        <f>M229</f>
        <v/>
      </c>
      <c r="N83" s="36">
        <f>N229</f>
        <v/>
      </c>
      <c r="O83" s="36">
        <f>O229</f>
        <v/>
      </c>
      <c r="P83" s="36">
        <f>P229</f>
        <v/>
      </c>
      <c r="R83" s="36">
        <f>R229</f>
        <v/>
      </c>
      <c r="S83" s="36">
        <f>S229</f>
        <v/>
      </c>
      <c r="T83" s="36">
        <f>T229</f>
        <v/>
      </c>
      <c r="U83" s="36">
        <f>U229</f>
        <v/>
      </c>
      <c r="V83" s="36">
        <f>V229</f>
        <v/>
      </c>
      <c r="W83" s="36">
        <f>W229</f>
        <v/>
      </c>
      <c r="X83" s="36">
        <f>X229</f>
        <v/>
      </c>
      <c r="Y83" s="36">
        <f>Y229</f>
        <v/>
      </c>
    </row>
    <row r="84">
      <c r="C84" s="13" t="inlineStr">
        <is>
          <t>Adjusted EBITDA (OpInc + D&amp;A + SBC + Restructuring + Impairment)</t>
        </is>
      </c>
      <c r="G84" s="40">
        <f>G26+G29+G83-G21-G22</f>
        <v/>
      </c>
      <c r="H84" s="40">
        <f>H26+H29+H83-H21-H22</f>
        <v/>
      </c>
      <c r="I84" s="40">
        <f>I26+I29+I83-I21-I22</f>
        <v/>
      </c>
      <c r="J84" s="40">
        <f>J26+J29+J83-J21-J22</f>
        <v/>
      </c>
      <c r="K84" s="40">
        <f>K26+K29+K83-K21-K22</f>
        <v/>
      </c>
      <c r="L84" s="40">
        <f>L26+L29+L83-L21-L22</f>
        <v/>
      </c>
      <c r="M84" s="40">
        <f>M26+M29+M83-M21-M22</f>
        <v/>
      </c>
      <c r="N84" s="40">
        <f>N26+N29+N83-N21-N22</f>
        <v/>
      </c>
      <c r="O84" s="40">
        <f>O26+O29+O83-O21-O22</f>
        <v/>
      </c>
      <c r="P84" s="40">
        <f>P26+P29+P83-P21-P22</f>
        <v/>
      </c>
      <c r="R84" s="40">
        <f>R26+R29+R83-R21-R22</f>
        <v/>
      </c>
      <c r="S84" s="40">
        <f>S26+S29+S83-S21-S22</f>
        <v/>
      </c>
      <c r="T84" s="40">
        <f>T26+T29+T83-T21-T22</f>
        <v/>
      </c>
      <c r="U84" s="40">
        <f>U26+U29+U83-U21-U22</f>
        <v/>
      </c>
      <c r="V84" s="40">
        <f>V26+V29+V83-V21-V22</f>
        <v/>
      </c>
      <c r="W84" s="40">
        <f>W26+W29+W83-W21-W22</f>
        <v/>
      </c>
      <c r="X84" s="40">
        <f>X26+X29+X83-X21-X22</f>
        <v/>
      </c>
      <c r="Y84" s="40">
        <f>Y26+Y29+Y83-Y21-Y22</f>
        <v/>
      </c>
      <c r="AA84" s="37">
        <f>IFERROR((Y84/T84)^(1/5)-1,"")</f>
        <v/>
      </c>
    </row>
    <row r="85">
      <c r="D85" s="8" t="inlineStr">
        <is>
          <t>Reconciliation: variance vs. as-reported</t>
        </is>
      </c>
      <c r="G85" s="41">
        <f>IF(_reported!G18="","",G84-_reported!G18)</f>
        <v/>
      </c>
      <c r="H85" s="41">
        <f>IF(_reported!H18="","",H84-_reported!H18)</f>
        <v/>
      </c>
      <c r="R85" s="41">
        <f>IF(_reported!R18="","",R84-_reported!R18)</f>
        <v/>
      </c>
      <c r="S85" s="41">
        <f>IF(_reported!S18="","",S84-_reported!S18)</f>
        <v/>
      </c>
      <c r="T85" s="41">
        <f>IF(_reported!T18="","",T84-_reported!T18)</f>
        <v/>
      </c>
    </row>
    <row r="86">
      <c r="D86" s="9" t="inlineStr">
        <is>
          <t>Adjusted EBITDA Margin</t>
        </is>
      </c>
      <c r="G86" s="37">
        <f>IFERROR(G84/G13,"")</f>
        <v/>
      </c>
      <c r="H86" s="37">
        <f>IFERROR(H84/H13,"")</f>
        <v/>
      </c>
      <c r="I86" s="37">
        <f>IFERROR(I84/I13,"")</f>
        <v/>
      </c>
      <c r="J86" s="37">
        <f>IFERROR(J84/J13,"")</f>
        <v/>
      </c>
      <c r="K86" s="37">
        <f>IFERROR(K84/K13,"")</f>
        <v/>
      </c>
      <c r="L86" s="37">
        <f>IFERROR(L84/L13,"")</f>
        <v/>
      </c>
      <c r="M86" s="37">
        <f>IFERROR(M84/M13,"")</f>
        <v/>
      </c>
      <c r="N86" s="37">
        <f>IFERROR(N84/N13,"")</f>
        <v/>
      </c>
      <c r="O86" s="37">
        <f>IFERROR(O84/O13,"")</f>
        <v/>
      </c>
      <c r="P86" s="37">
        <f>IFERROR(P84/P13,"")</f>
        <v/>
      </c>
      <c r="R86" s="37">
        <f>IFERROR(R84/R13,"")</f>
        <v/>
      </c>
      <c r="S86" s="37">
        <f>IFERROR(S84/S13,"")</f>
        <v/>
      </c>
      <c r="T86" s="37">
        <f>IFERROR(T84/T13,"")</f>
        <v/>
      </c>
      <c r="U86" s="37">
        <f>IFERROR(U84/U13,"")</f>
        <v/>
      </c>
      <c r="V86" s="37">
        <f>IFERROR(V84/V13,"")</f>
        <v/>
      </c>
      <c r="W86" s="37">
        <f>IFERROR(W84/W13,"")</f>
        <v/>
      </c>
      <c r="X86" s="37">
        <f>IFERROR(X84/X13,"")</f>
        <v/>
      </c>
      <c r="Y86" s="37">
        <f>IFERROR(Y84/Y13,"")</f>
        <v/>
      </c>
    </row>
    <row r="87"/>
    <row r="88"/>
    <row r="89"/>
    <row r="90">
      <c r="B90" s="7" t="inlineStr">
        <is>
          <t>KPI Drivers</t>
        </is>
      </c>
      <c r="C90" s="7" t="n"/>
      <c r="D90" s="7" t="n"/>
      <c r="E90" s="7" t="n"/>
      <c r="F90" s="7" t="n"/>
      <c r="G90" s="7" t="n"/>
      <c r="H90" s="7" t="n"/>
      <c r="I90" s="7" t="n"/>
      <c r="J90" s="7" t="n"/>
      <c r="K90" s="7" t="n"/>
      <c r="L90" s="7" t="n"/>
      <c r="M90" s="7" t="n"/>
      <c r="N90" s="7" t="n"/>
      <c r="O90" s="7" t="n"/>
      <c r="P90" s="7" t="n"/>
      <c r="R90" s="7" t="n"/>
      <c r="S90" s="7" t="n"/>
      <c r="T90" s="7" t="n"/>
      <c r="U90" s="7" t="n"/>
      <c r="V90" s="7" t="n"/>
      <c r="W90" s="7" t="n"/>
      <c r="X90" s="7" t="n"/>
      <c r="Y90" s="7" t="n"/>
    </row>
    <row r="91">
      <c r="C91" s="8" t="inlineStr">
        <is>
          <t>Terminal blue inputs are RATES and COUNTS (growth %, $/sub/mo intensive, yields). Dollar rows derive prior × (1+g). Drives IS rows 10-12 → Total Revenue. Sources: kpi_drivers.md (consensus triangulation documented — we are below Street).</t>
        </is>
      </c>
    </row>
    <row r="92"/>
    <row r="93">
      <c r="C93" s="9" t="inlineStr">
        <is>
          <t>Space — Launch Services Revenue ($M)</t>
        </is>
      </c>
      <c r="G93" s="35" t="n">
        <v>566</v>
      </c>
      <c r="H93" s="35" t="n">
        <v>330</v>
      </c>
      <c r="I93" s="36">
        <f>H93*(1+I94)</f>
        <v/>
      </c>
      <c r="J93" s="36">
        <f>I93*(1+J94)</f>
        <v/>
      </c>
      <c r="K93" s="36">
        <f>J93*(1+K94)</f>
        <v/>
      </c>
      <c r="L93" s="36">
        <f>K93*(1+L94)</f>
        <v/>
      </c>
      <c r="M93" s="36">
        <f>L93*(1+M94)</f>
        <v/>
      </c>
      <c r="N93" s="36">
        <f>M93*(1+N94)</f>
        <v/>
      </c>
      <c r="O93" s="36">
        <f>N93*(1+O94)</f>
        <v/>
      </c>
      <c r="P93" s="36">
        <f>O93*(1+P94)</f>
        <v/>
      </c>
      <c r="R93" s="35" t="n">
        <v>1964</v>
      </c>
      <c r="S93" s="35" t="n">
        <v>2584</v>
      </c>
      <c r="T93" s="35" t="n">
        <v>2576</v>
      </c>
      <c r="U93" s="36">
        <f>H93+I93+J93+K93</f>
        <v/>
      </c>
      <c r="V93" s="36">
        <f>L93+M93+N93+O93</f>
        <v/>
      </c>
      <c r="W93" s="36">
        <f>V93*(1+W94)</f>
        <v/>
      </c>
      <c r="X93" s="36">
        <f>W93*(1+X94)</f>
        <v/>
      </c>
      <c r="Y93" s="36">
        <f>X93*(1+Y94)</f>
        <v/>
      </c>
    </row>
    <row r="94">
      <c r="D94" s="2" t="inlineStr">
        <is>
          <t>Launch Services Growth % (QoQ; YoY for out-year annuals)</t>
        </is>
      </c>
      <c r="I94" s="42" t="n">
        <v>0.45</v>
      </c>
      <c r="J94" s="42" t="n">
        <v>0.08</v>
      </c>
      <c r="K94" s="42" t="n">
        <v>0.08</v>
      </c>
      <c r="L94" s="42" t="n">
        <v>0.02</v>
      </c>
      <c r="M94" s="42" t="n">
        <v>0.05</v>
      </c>
      <c r="N94" s="42" t="n">
        <v>0.05</v>
      </c>
      <c r="O94" s="42" t="n">
        <v>0.05</v>
      </c>
      <c r="P94" s="42" t="n">
        <v>0.03</v>
      </c>
      <c r="U94" s="37">
        <f>IFERROR(U93/T93-1,"")</f>
        <v/>
      </c>
      <c r="V94" s="37">
        <f>IFERROR(V93/U93-1,"")</f>
        <v/>
      </c>
      <c r="W94" s="42" t="n">
        <v>0.12</v>
      </c>
      <c r="X94" s="42" t="n">
        <v>0.12</v>
      </c>
      <c r="Y94" s="42" t="n">
        <v>0.1</v>
      </c>
    </row>
    <row r="95">
      <c r="C95" s="9" t="inlineStr">
        <is>
          <t>Space — Launch &amp; Development Revenue ($M)</t>
        </is>
      </c>
      <c r="G95" s="35" t="n">
        <v>299</v>
      </c>
      <c r="H95" s="35" t="n">
        <v>289</v>
      </c>
      <c r="I95" s="36">
        <f>H95*(1+I96)</f>
        <v/>
      </c>
      <c r="J95" s="36">
        <f>I95*(1+J96)</f>
        <v/>
      </c>
      <c r="K95" s="36">
        <f>J95*(1+K96)</f>
        <v/>
      </c>
      <c r="L95" s="36">
        <f>K95*(1+L96)</f>
        <v/>
      </c>
      <c r="M95" s="36">
        <f>L95*(1+M96)</f>
        <v/>
      </c>
      <c r="N95" s="36">
        <f>M95*(1+N96)</f>
        <v/>
      </c>
      <c r="O95" s="36">
        <f>N95*(1+O96)</f>
        <v/>
      </c>
      <c r="P95" s="36">
        <f>O95*(1+P96)</f>
        <v/>
      </c>
      <c r="R95" s="35" t="n">
        <v>1593</v>
      </c>
      <c r="S95" s="35" t="n">
        <v>1212</v>
      </c>
      <c r="T95" s="35" t="n">
        <v>1510</v>
      </c>
      <c r="U95" s="36">
        <f>H95+I95+J95+K95</f>
        <v/>
      </c>
      <c r="V95" s="36">
        <f>L95+M95+N95+O95</f>
        <v/>
      </c>
      <c r="W95" s="36">
        <f>V95*(1+W96)</f>
        <v/>
      </c>
      <c r="X95" s="36">
        <f>W95*(1+X96)</f>
        <v/>
      </c>
      <c r="Y95" s="36">
        <f>X95*(1+Y96)</f>
        <v/>
      </c>
    </row>
    <row r="96">
      <c r="D96" s="2" t="inlineStr">
        <is>
          <t>Launch &amp; Development Growth %</t>
        </is>
      </c>
      <c r="I96" s="42" t="n">
        <v>0.12</v>
      </c>
      <c r="J96" s="42" t="n">
        <v>0.1</v>
      </c>
      <c r="K96" s="42" t="n">
        <v>0.1</v>
      </c>
      <c r="L96" s="42" t="n">
        <v>0.02</v>
      </c>
      <c r="M96" s="42" t="n">
        <v>0.04</v>
      </c>
      <c r="N96" s="42" t="n">
        <v>0.04</v>
      </c>
      <c r="O96" s="42" t="n">
        <v>0.04</v>
      </c>
      <c r="P96" s="42" t="n">
        <v>0.03</v>
      </c>
      <c r="U96" s="37">
        <f>IFERROR(U95/T95-1,"")</f>
        <v/>
      </c>
      <c r="V96" s="37">
        <f>IFERROR(V95/U95-1,"")</f>
        <v/>
      </c>
      <c r="W96" s="42" t="n">
        <v>0.12</v>
      </c>
      <c r="X96" s="42" t="n">
        <v>0.1</v>
      </c>
      <c r="Y96" s="42" t="n">
        <v>0.08</v>
      </c>
    </row>
    <row r="97">
      <c r="B97" s="13" t="inlineStr">
        <is>
          <t>Space Revenue Total ($M)</t>
        </is>
      </c>
      <c r="G97" s="40">
        <f>G93+G95</f>
        <v/>
      </c>
      <c r="H97" s="40">
        <f>H93+H95</f>
        <v/>
      </c>
      <c r="I97" s="40">
        <f>I93+I95</f>
        <v/>
      </c>
      <c r="J97" s="40">
        <f>J93+J95</f>
        <v/>
      </c>
      <c r="K97" s="40">
        <f>K93+K95</f>
        <v/>
      </c>
      <c r="L97" s="40">
        <f>L93+L95</f>
        <v/>
      </c>
      <c r="M97" s="40">
        <f>M93+M95</f>
        <v/>
      </c>
      <c r="N97" s="40">
        <f>N93+N95</f>
        <v/>
      </c>
      <c r="O97" s="40">
        <f>O93+O95</f>
        <v/>
      </c>
      <c r="P97" s="40">
        <f>P93+P95</f>
        <v/>
      </c>
      <c r="R97" s="40">
        <f>R93+R95</f>
        <v/>
      </c>
      <c r="S97" s="40">
        <f>S93+S95</f>
        <v/>
      </c>
      <c r="T97" s="40">
        <f>T93+T95</f>
        <v/>
      </c>
      <c r="U97" s="40">
        <f>U93+U95</f>
        <v/>
      </c>
      <c r="V97" s="40">
        <f>V93+V95</f>
        <v/>
      </c>
      <c r="W97" s="40">
        <f>W93+W95</f>
        <v/>
      </c>
      <c r="X97" s="40">
        <f>X93+X95</f>
        <v/>
      </c>
      <c r="Y97" s="40">
        <f>Y93+Y95</f>
        <v/>
      </c>
    </row>
    <row r="98"/>
    <row r="99">
      <c r="C99" s="9" t="inlineStr">
        <is>
          <t>Starlink Subscribers — End of Period (M)</t>
        </is>
      </c>
      <c r="G99" s="38" t="n">
        <v>5</v>
      </c>
      <c r="H99" s="38" t="n">
        <v>10.3</v>
      </c>
      <c r="I99" s="39">
        <f>H99*(1+I100)</f>
        <v/>
      </c>
      <c r="J99" s="39">
        <f>I99*(1+J100)</f>
        <v/>
      </c>
      <c r="K99" s="39">
        <f>J99*(1+K100)</f>
        <v/>
      </c>
      <c r="L99" s="39">
        <f>K99*(1+L100)</f>
        <v/>
      </c>
      <c r="M99" s="39">
        <f>L99*(1+M100)</f>
        <v/>
      </c>
      <c r="N99" s="39">
        <f>M99*(1+N100)</f>
        <v/>
      </c>
      <c r="O99" s="39">
        <f>N99*(1+O100)</f>
        <v/>
      </c>
      <c r="P99" s="39">
        <f>O99*(1+P100)</f>
        <v/>
      </c>
      <c r="R99" s="38" t="n">
        <v>2.3</v>
      </c>
      <c r="S99" s="38" t="n">
        <v>4.4</v>
      </c>
      <c r="T99" s="38" t="n">
        <v>8.9</v>
      </c>
      <c r="U99" s="39">
        <f>K99</f>
        <v/>
      </c>
      <c r="V99" s="39">
        <f>O99</f>
        <v/>
      </c>
      <c r="W99" s="39">
        <f>V99*(1+W100)</f>
        <v/>
      </c>
      <c r="X99" s="39">
        <f>W99*(1+X100)</f>
        <v/>
      </c>
      <c r="Y99" s="39">
        <f>X99*(1+Y100)</f>
        <v/>
      </c>
    </row>
    <row r="100">
      <c r="D100" s="2" t="inlineStr">
        <is>
          <t>Subscriber Growth % (QoQ; YoY for out-year annuals)</t>
        </is>
      </c>
      <c r="I100" s="42" t="n">
        <v>0.13</v>
      </c>
      <c r="J100" s="42" t="n">
        <v>0.12</v>
      </c>
      <c r="K100" s="42" t="n">
        <v>0.11</v>
      </c>
      <c r="L100" s="42" t="n">
        <v>0.1</v>
      </c>
      <c r="M100" s="42" t="n">
        <v>0.09</v>
      </c>
      <c r="N100" s="42" t="n">
        <v>0.08500000000000001</v>
      </c>
      <c r="O100" s="42" t="n">
        <v>0.08</v>
      </c>
      <c r="P100" s="42" t="n">
        <v>0.065</v>
      </c>
      <c r="U100" s="37">
        <f>IFERROR(U99/T99-1,"")</f>
        <v/>
      </c>
      <c r="V100" s="37">
        <f>IFERROR(V99/U99-1,"")</f>
        <v/>
      </c>
      <c r="W100" s="42" t="n">
        <v>0.26</v>
      </c>
      <c r="X100" s="42" t="n">
        <v>0.21</v>
      </c>
      <c r="Y100" s="42" t="n">
        <v>0.17</v>
      </c>
      <c r="AC100" s="8" t="inlineStr">
        <is>
          <t>Subs +13% QoQ fading; FY28-30 +26/+21/+17% YoY</t>
        </is>
      </c>
    </row>
    <row r="101">
      <c r="D101" s="2" t="inlineStr">
        <is>
          <t>Starlink Subscribers — Average (M)</t>
        </is>
      </c>
      <c r="G101" s="39">
        <f>(S99+G99)/2</f>
        <v/>
      </c>
      <c r="H101" s="39">
        <f>(T99+H99)/2</f>
        <v/>
      </c>
      <c r="I101" s="39">
        <f>(H99+I99)/2</f>
        <v/>
      </c>
      <c r="J101" s="39">
        <f>(I99+J99)/2</f>
        <v/>
      </c>
      <c r="K101" s="39">
        <f>(J99+K99)/2</f>
        <v/>
      </c>
      <c r="L101" s="39">
        <f>(K99+L99)/2</f>
        <v/>
      </c>
      <c r="M101" s="39">
        <f>(L99+M99)/2</f>
        <v/>
      </c>
      <c r="N101" s="39">
        <f>(M99+N99)/2</f>
        <v/>
      </c>
      <c r="O101" s="39">
        <f>(N99+O99)/2</f>
        <v/>
      </c>
      <c r="P101" s="39">
        <f>(O99+P99)/2</f>
        <v/>
      </c>
      <c r="S101" s="39">
        <f>(R99+S99)/2</f>
        <v/>
      </c>
      <c r="T101" s="39">
        <f>(S99+T99)/2</f>
        <v/>
      </c>
      <c r="U101" s="39">
        <f>(T99+U99)/2</f>
        <v/>
      </c>
      <c r="V101" s="39">
        <f>(U99+V99)/2</f>
        <v/>
      </c>
      <c r="W101" s="39">
        <f>(V99+W99)/2</f>
        <v/>
      </c>
      <c r="X101" s="39">
        <f>(W99+X99)/2</f>
        <v/>
      </c>
      <c r="Y101" s="39">
        <f>(X99+Y99)/2</f>
        <v/>
      </c>
    </row>
    <row r="102">
      <c r="D102" s="2" t="inlineStr">
        <is>
          <t>Consumer Revenue per Avg Sub ($/month — intensive per-unit input)</t>
        </is>
      </c>
      <c r="G102" s="48">
        <f>IFERROR(G103/(G101*12*G179/365),"")</f>
        <v/>
      </c>
      <c r="H102" s="48">
        <f>IFERROR(H103/(H101*12*H179/365),"")</f>
        <v/>
      </c>
      <c r="I102" s="49" t="n">
        <v>73.5</v>
      </c>
      <c r="J102" s="49" t="n">
        <v>73</v>
      </c>
      <c r="K102" s="49" t="n">
        <v>72.5</v>
      </c>
      <c r="L102" s="49" t="n">
        <v>72</v>
      </c>
      <c r="M102" s="49" t="n">
        <v>71.5</v>
      </c>
      <c r="N102" s="49" t="n">
        <v>71</v>
      </c>
      <c r="O102" s="49" t="n">
        <v>70.5</v>
      </c>
      <c r="P102" s="49" t="n">
        <v>70</v>
      </c>
      <c r="R102" s="48">
        <f>IFERROR(R103/(R101*12*R179/365),"")</f>
        <v/>
      </c>
      <c r="S102" s="48">
        <f>IFERROR(S103/(S101*12*S179/365),"")</f>
        <v/>
      </c>
      <c r="T102" s="48">
        <f>IFERROR(T103/(T101*12*T179/365),"")</f>
        <v/>
      </c>
      <c r="U102" s="48">
        <f>IFERROR(U103/(U101*12*U179/365),"")</f>
        <v/>
      </c>
      <c r="V102" s="48">
        <f>IFERROR(V103/(V101*12*V179/365),"")</f>
        <v/>
      </c>
      <c r="W102" s="49" t="n">
        <v>69.5</v>
      </c>
      <c r="X102" s="49" t="n">
        <v>68.5</v>
      </c>
      <c r="Y102" s="49" t="n">
        <v>67.5</v>
      </c>
    </row>
    <row r="103">
      <c r="C103" s="9" t="inlineStr">
        <is>
          <t>Connectivity — Consumer Revenue ($M)</t>
        </is>
      </c>
      <c r="G103" s="35" t="n">
        <v>1492</v>
      </c>
      <c r="H103" s="35" t="n">
        <v>2148</v>
      </c>
      <c r="I103" s="36">
        <f>I101*I102*12*I179/365</f>
        <v/>
      </c>
      <c r="J103" s="36">
        <f>J101*J102*12*J179/365</f>
        <v/>
      </c>
      <c r="K103" s="36">
        <f>K101*K102*12*K179/365</f>
        <v/>
      </c>
      <c r="L103" s="36">
        <f>L101*L102*12*L179/365</f>
        <v/>
      </c>
      <c r="M103" s="36">
        <f>M101*M102*12*M179/365</f>
        <v/>
      </c>
      <c r="N103" s="36">
        <f>N101*N102*12*N179/365</f>
        <v/>
      </c>
      <c r="O103" s="36">
        <f>O101*O102*12*O179/365</f>
        <v/>
      </c>
      <c r="P103" s="36">
        <f>P101*P102*12*P179/365</f>
        <v/>
      </c>
      <c r="R103" s="35" t="n">
        <v>2817</v>
      </c>
      <c r="S103" s="35" t="n">
        <v>4830</v>
      </c>
      <c r="T103" s="35" t="n">
        <v>7208</v>
      </c>
      <c r="U103" s="36">
        <f>H103+I103+J103+K103</f>
        <v/>
      </c>
      <c r="V103" s="36">
        <f>L103+M103+N103+O103</f>
        <v/>
      </c>
      <c r="W103" s="36">
        <f>W101*W102*12*W179/365</f>
        <v/>
      </c>
      <c r="X103" s="36">
        <f>X101*X102*12*X179/365</f>
        <v/>
      </c>
      <c r="Y103" s="36">
        <f>Y101*Y102*12*Y179/365</f>
        <v/>
      </c>
    </row>
    <row r="104">
      <c r="C104" s="9" t="inlineStr">
        <is>
          <t>Connectivity — Enterprise &amp; Government Revenue ($M)</t>
        </is>
      </c>
      <c r="G104" s="35" t="n">
        <v>983</v>
      </c>
      <c r="H104" s="35" t="n">
        <v>1109</v>
      </c>
      <c r="I104" s="36">
        <f>H104*(1+I105)</f>
        <v/>
      </c>
      <c r="J104" s="36">
        <f>I104*(1+J105)</f>
        <v/>
      </c>
      <c r="K104" s="36">
        <f>J104*(1+K105)</f>
        <v/>
      </c>
      <c r="L104" s="36">
        <f>K104*(1+L105)</f>
        <v/>
      </c>
      <c r="M104" s="36">
        <f>L104*(1+M105)</f>
        <v/>
      </c>
      <c r="N104" s="36">
        <f>M104*(1+N105)</f>
        <v/>
      </c>
      <c r="O104" s="36">
        <f>N104*(1+O105)</f>
        <v/>
      </c>
      <c r="P104" s="36">
        <f>O104*(1+P105)</f>
        <v/>
      </c>
      <c r="R104" s="35" t="n">
        <v>1052</v>
      </c>
      <c r="S104" s="35" t="n">
        <v>2769</v>
      </c>
      <c r="T104" s="35" t="n">
        <v>4179</v>
      </c>
      <c r="U104" s="36">
        <f>H104+I104+J104+K104</f>
        <v/>
      </c>
      <c r="V104" s="36">
        <f>L104+M104+N104+O104</f>
        <v/>
      </c>
      <c r="W104" s="36">
        <f>V104*(1+W105)</f>
        <v/>
      </c>
      <c r="X104" s="36">
        <f>W104*(1+X105)</f>
        <v/>
      </c>
      <c r="Y104" s="36">
        <f>X104*(1+Y105)</f>
        <v/>
      </c>
    </row>
    <row r="105">
      <c r="D105" s="2" t="inlineStr">
        <is>
          <t>Enterprise &amp; Government Growth %</t>
        </is>
      </c>
      <c r="I105" s="42" t="n">
        <v>0.08</v>
      </c>
      <c r="J105" s="42" t="n">
        <v>0.08</v>
      </c>
      <c r="K105" s="42" t="n">
        <v>0.07000000000000001</v>
      </c>
      <c r="L105" s="42" t="n">
        <v>0.06</v>
      </c>
      <c r="M105" s="42" t="n">
        <v>0.06</v>
      </c>
      <c r="N105" s="42" t="n">
        <v>0.05</v>
      </c>
      <c r="O105" s="42" t="n">
        <v>0.05</v>
      </c>
      <c r="P105" s="42" t="n">
        <v>0.04</v>
      </c>
      <c r="U105" s="37">
        <f>IFERROR(U104/T104-1,"")</f>
        <v/>
      </c>
      <c r="V105" s="37">
        <f>IFERROR(V104/U104-1,"")</f>
        <v/>
      </c>
      <c r="W105" s="42" t="n">
        <v>0.18</v>
      </c>
      <c r="X105" s="42" t="n">
        <v>0.16</v>
      </c>
      <c r="Y105" s="42" t="n">
        <v>0.14</v>
      </c>
    </row>
    <row r="106">
      <c r="B106" s="13" t="inlineStr">
        <is>
          <t>Connectivity Revenue Total ($M)</t>
        </is>
      </c>
      <c r="G106" s="40">
        <f>G103+G104</f>
        <v/>
      </c>
      <c r="H106" s="40">
        <f>H103+H104</f>
        <v/>
      </c>
      <c r="I106" s="40">
        <f>I103+I104</f>
        <v/>
      </c>
      <c r="J106" s="40">
        <f>J103+J104</f>
        <v/>
      </c>
      <c r="K106" s="40">
        <f>K103+K104</f>
        <v/>
      </c>
      <c r="L106" s="40">
        <f>L103+L104</f>
        <v/>
      </c>
      <c r="M106" s="40">
        <f>M103+M104</f>
        <v/>
      </c>
      <c r="N106" s="40">
        <f>N103+N104</f>
        <v/>
      </c>
      <c r="O106" s="40">
        <f>O103+O104</f>
        <v/>
      </c>
      <c r="P106" s="40">
        <f>P103+P104</f>
        <v/>
      </c>
      <c r="R106" s="40">
        <f>R103+R104</f>
        <v/>
      </c>
      <c r="S106" s="40">
        <f>S103+S104</f>
        <v/>
      </c>
      <c r="T106" s="40">
        <f>T103+T104</f>
        <v/>
      </c>
      <c r="U106" s="40">
        <f>U103+U104</f>
        <v/>
      </c>
      <c r="V106" s="40">
        <f>V103+V104</f>
        <v/>
      </c>
      <c r="W106" s="40">
        <f>W103+W104</f>
        <v/>
      </c>
      <c r="X106" s="40">
        <f>X103+X104</f>
        <v/>
      </c>
      <c r="Y106" s="40">
        <f>Y103+Y104</f>
        <v/>
      </c>
    </row>
    <row r="107"/>
    <row r="108">
      <c r="C108" s="9" t="inlineStr">
        <is>
          <t>AI — Advertising Revenue ($M)</t>
        </is>
      </c>
      <c r="G108" s="35" t="n">
        <v>443</v>
      </c>
      <c r="H108" s="35" t="n">
        <v>343</v>
      </c>
      <c r="I108" s="36">
        <f>H108*(1+I109)</f>
        <v/>
      </c>
      <c r="J108" s="36">
        <f>I108*(1+J109)</f>
        <v/>
      </c>
      <c r="K108" s="36">
        <f>J108*(1+K109)</f>
        <v/>
      </c>
      <c r="L108" s="36">
        <f>K108*(1+L109)</f>
        <v/>
      </c>
      <c r="M108" s="36">
        <f>L108*(1+M109)</f>
        <v/>
      </c>
      <c r="N108" s="36">
        <f>M108*(1+N109)</f>
        <v/>
      </c>
      <c r="O108" s="36">
        <f>N108*(1+O109)</f>
        <v/>
      </c>
      <c r="P108" s="36">
        <f>O108*(1+P109)</f>
        <v/>
      </c>
      <c r="R108" s="35" t="n">
        <v>2323</v>
      </c>
      <c r="S108" s="35" t="n">
        <v>1728</v>
      </c>
      <c r="T108" s="35" t="n">
        <v>1844</v>
      </c>
      <c r="U108" s="36">
        <f>H108+I108+J108+K108</f>
        <v/>
      </c>
      <c r="V108" s="36">
        <f>L108+M108+N108+O108</f>
        <v/>
      </c>
      <c r="W108" s="36">
        <f>V108*(1+W109)</f>
        <v/>
      </c>
      <c r="X108" s="36">
        <f>W108*(1+X109)</f>
        <v/>
      </c>
      <c r="Y108" s="36">
        <f>X108*(1+Y109)</f>
        <v/>
      </c>
    </row>
    <row r="109">
      <c r="D109" s="2" t="inlineStr">
        <is>
          <t>Advertising Growth %</t>
        </is>
      </c>
      <c r="I109" s="42" t="n">
        <v>0.04</v>
      </c>
      <c r="J109" s="42" t="n">
        <v>0.04</v>
      </c>
      <c r="K109" s="42" t="n">
        <v>0.04</v>
      </c>
      <c r="L109" s="42" t="n">
        <v>0.03</v>
      </c>
      <c r="M109" s="42" t="n">
        <v>0.03</v>
      </c>
      <c r="N109" s="42" t="n">
        <v>0.03</v>
      </c>
      <c r="O109" s="42" t="n">
        <v>0.03</v>
      </c>
      <c r="P109" s="42" t="n">
        <v>0.02</v>
      </c>
      <c r="U109" s="37">
        <f>IFERROR(U108/T108-1,"")</f>
        <v/>
      </c>
      <c r="V109" s="37">
        <f>IFERROR(V108/U108-1,"")</f>
        <v/>
      </c>
      <c r="W109" s="42" t="n">
        <v>0.08</v>
      </c>
      <c r="X109" s="42" t="n">
        <v>0.08</v>
      </c>
      <c r="Y109" s="42" t="n">
        <v>0.07000000000000001</v>
      </c>
    </row>
    <row r="110">
      <c r="C110" s="9" t="inlineStr">
        <is>
          <t>AI — Solutions &amp; Infrastructure Revenue ($M)</t>
        </is>
      </c>
      <c r="G110" s="35" t="n">
        <v>284</v>
      </c>
      <c r="H110" s="35" t="n">
        <v>475</v>
      </c>
      <c r="I110" s="36">
        <f>H110*(1+I111)</f>
        <v/>
      </c>
      <c r="J110" s="36">
        <f>I110*(1+J111)</f>
        <v/>
      </c>
      <c r="K110" s="36">
        <f>J110*(1+K111)</f>
        <v/>
      </c>
      <c r="L110" s="36">
        <f>K110*(1+L111)</f>
        <v/>
      </c>
      <c r="M110" s="36">
        <f>L110*(1+M111)</f>
        <v/>
      </c>
      <c r="N110" s="36">
        <f>M110*(1+N111)</f>
        <v/>
      </c>
      <c r="O110" s="36">
        <f>N110*(1+O111)</f>
        <v/>
      </c>
      <c r="P110" s="36">
        <f>O110*(1+P111)</f>
        <v/>
      </c>
      <c r="R110" s="35" t="n">
        <v>638</v>
      </c>
      <c r="S110" s="35" t="n">
        <v>892</v>
      </c>
      <c r="T110" s="35" t="n">
        <v>1357</v>
      </c>
      <c r="U110" s="36">
        <f>H110+I110+J110+K110</f>
        <v/>
      </c>
      <c r="V110" s="36">
        <f>L110+M110+N110+O110</f>
        <v/>
      </c>
      <c r="W110" s="36">
        <f>V110*(1+W111)</f>
        <v/>
      </c>
      <c r="X110" s="36">
        <f>W110*(1+X111)</f>
        <v/>
      </c>
      <c r="Y110" s="36">
        <f>X110*(1+Y111)</f>
        <v/>
      </c>
    </row>
    <row r="111">
      <c r="D111" s="2" t="inlineStr">
        <is>
          <t>AI Solutions &amp; Infrastructure Growth %</t>
        </is>
      </c>
      <c r="I111" s="42" t="n">
        <v>0.22</v>
      </c>
      <c r="J111" s="42" t="n">
        <v>0.2</v>
      </c>
      <c r="K111" s="42" t="n">
        <v>0.18</v>
      </c>
      <c r="L111" s="42" t="n">
        <v>0.15</v>
      </c>
      <c r="M111" s="42" t="n">
        <v>0.14</v>
      </c>
      <c r="N111" s="42" t="n">
        <v>0.13</v>
      </c>
      <c r="O111" s="42" t="n">
        <v>0.12</v>
      </c>
      <c r="P111" s="42" t="n">
        <v>0.1</v>
      </c>
      <c r="U111" s="37">
        <f>IFERROR(U110/T110-1,"")</f>
        <v/>
      </c>
      <c r="V111" s="37">
        <f>IFERROR(V110/U110-1,"")</f>
        <v/>
      </c>
      <c r="W111" s="42" t="n">
        <v>0.5</v>
      </c>
      <c r="X111" s="42" t="n">
        <v>0.4</v>
      </c>
      <c r="Y111" s="42" t="n">
        <v>0.32</v>
      </c>
      <c r="AC111" s="8" t="inlineStr">
        <is>
          <t>AI Solutions +22% QoQ fading; out-years +50/+40/+32%</t>
        </is>
      </c>
    </row>
    <row r="112">
      <c r="B112" s="13" t="inlineStr">
        <is>
          <t>AI Revenue Total ($M)</t>
        </is>
      </c>
      <c r="G112" s="40">
        <f>G108+G110</f>
        <v/>
      </c>
      <c r="H112" s="40">
        <f>H108+H110</f>
        <v/>
      </c>
      <c r="I112" s="40">
        <f>I108+I110</f>
        <v/>
      </c>
      <c r="J112" s="40">
        <f>J108+J110</f>
        <v/>
      </c>
      <c r="K112" s="40">
        <f>K108+K110</f>
        <v/>
      </c>
      <c r="L112" s="40">
        <f>L108+L110</f>
        <v/>
      </c>
      <c r="M112" s="40">
        <f>M108+M110</f>
        <v/>
      </c>
      <c r="N112" s="40">
        <f>N108+N110</f>
        <v/>
      </c>
      <c r="O112" s="40">
        <f>O108+O110</f>
        <v/>
      </c>
      <c r="P112" s="40">
        <f>P108+P110</f>
        <v/>
      </c>
      <c r="R112" s="40">
        <f>R108+R110</f>
        <v/>
      </c>
      <c r="S112" s="40">
        <f>S108+S110</f>
        <v/>
      </c>
      <c r="T112" s="40">
        <f>T108+T110</f>
        <v/>
      </c>
      <c r="U112" s="40">
        <f>U108+U110</f>
        <v/>
      </c>
      <c r="V112" s="40">
        <f>V108+V110</f>
        <v/>
      </c>
      <c r="W112" s="40">
        <f>W108+W110</f>
        <v/>
      </c>
      <c r="X112" s="40">
        <f>X108+X110</f>
        <v/>
      </c>
      <c r="Y112" s="40">
        <f>Y108+Y110</f>
        <v/>
      </c>
    </row>
    <row r="113"/>
    <row r="114">
      <c r="A114" s="12" t="inlineStr">
        <is>
          <t>x</t>
        </is>
      </c>
      <c r="B114" s="13" t="inlineStr">
        <is>
          <t>KPI Total Revenue ($M)</t>
        </is>
      </c>
      <c r="G114" s="40">
        <f>G97+G106+G112</f>
        <v/>
      </c>
      <c r="H114" s="40">
        <f>H97+H106+H112</f>
        <v/>
      </c>
      <c r="I114" s="40">
        <f>I97+I106+I112</f>
        <v/>
      </c>
      <c r="J114" s="40">
        <f>J97+J106+J112</f>
        <v/>
      </c>
      <c r="K114" s="40">
        <f>K97+K106+K112</f>
        <v/>
      </c>
      <c r="L114" s="40">
        <f>L97+L106+L112</f>
        <v/>
      </c>
      <c r="M114" s="40">
        <f>M97+M106+M112</f>
        <v/>
      </c>
      <c r="N114" s="40">
        <f>N97+N106+N112</f>
        <v/>
      </c>
      <c r="O114" s="40">
        <f>O97+O106+O112</f>
        <v/>
      </c>
      <c r="P114" s="40">
        <f>P97+P106+P112</f>
        <v/>
      </c>
      <c r="R114" s="40">
        <f>R97+R106+R112</f>
        <v/>
      </c>
      <c r="S114" s="40">
        <f>S97+S106+S112</f>
        <v/>
      </c>
      <c r="T114" s="40">
        <f>T97+T106+T112</f>
        <v/>
      </c>
      <c r="U114" s="40">
        <f>U97+U106+U112</f>
        <v/>
      </c>
      <c r="V114" s="40">
        <f>V97+V106+V112</f>
        <v/>
      </c>
      <c r="W114" s="40">
        <f>W97+W106+W112</f>
        <v/>
      </c>
      <c r="X114" s="40">
        <f>X97+X106+X112</f>
        <v/>
      </c>
      <c r="Y114" s="40">
        <f>Y97+Y106+Y112</f>
        <v/>
      </c>
    </row>
    <row r="115"/>
    <row r="116">
      <c r="D116" s="9" t="inlineStr">
        <is>
          <t>Interest Yield on Cash &amp; Securities (% ann.) [DRIVER] — INFO: forward-only</t>
        </is>
      </c>
      <c r="I116" s="42" t="n">
        <v>0.039</v>
      </c>
      <c r="J116" s="42" t="n">
        <v>0.039</v>
      </c>
      <c r="K116" s="42" t="n">
        <v>0.039</v>
      </c>
      <c r="L116" s="42" t="n">
        <v>0.039</v>
      </c>
      <c r="M116" s="42" t="n">
        <v>0.039</v>
      </c>
      <c r="N116" s="42" t="n">
        <v>0.039</v>
      </c>
      <c r="O116" s="42" t="n">
        <v>0.039</v>
      </c>
      <c r="P116" s="42" t="n">
        <v>0.039</v>
      </c>
      <c r="U116" s="42" t="n">
        <v>0.039</v>
      </c>
      <c r="V116" s="42" t="n">
        <v>0.039</v>
      </c>
      <c r="W116" s="42" t="n">
        <v>0.039</v>
      </c>
      <c r="X116" s="42" t="n">
        <v>0.039</v>
      </c>
      <c r="Y116" s="42" t="n">
        <v>0.039</v>
      </c>
    </row>
    <row r="117">
      <c r="D117" s="9" t="inlineStr">
        <is>
          <t>Avg Cost of Debt (% ann.) [DRIVER] — INFO: forward-only</t>
        </is>
      </c>
      <c r="I117" s="42" t="n">
        <v>0.063</v>
      </c>
      <c r="J117" s="42" t="n">
        <v>0.063</v>
      </c>
      <c r="K117" s="42" t="n">
        <v>0.063</v>
      </c>
      <c r="L117" s="42" t="n">
        <v>0.063</v>
      </c>
      <c r="M117" s="42" t="n">
        <v>0.063</v>
      </c>
      <c r="N117" s="42" t="n">
        <v>0.063</v>
      </c>
      <c r="O117" s="42" t="n">
        <v>0.063</v>
      </c>
      <c r="P117" s="42" t="n">
        <v>0.063</v>
      </c>
      <c r="U117" s="42" t="n">
        <v>0.063</v>
      </c>
      <c r="V117" s="42" t="n">
        <v>0.063</v>
      </c>
      <c r="W117" s="42" t="n">
        <v>0.063</v>
      </c>
      <c r="X117" s="42" t="n">
        <v>0.063</v>
      </c>
      <c r="Y117" s="42" t="n">
        <v>0.063</v>
      </c>
    </row>
    <row r="118">
      <c r="D118" s="9" t="inlineStr">
        <is>
          <t>SBC (% of Revenue) [DRIVER]</t>
        </is>
      </c>
      <c r="G118" s="37">
        <f>IFERROR(G229/G13,"")</f>
        <v/>
      </c>
      <c r="H118" s="37">
        <f>IFERROR(H229/H13,"")</f>
        <v/>
      </c>
      <c r="I118" s="42" t="n">
        <v>0.13</v>
      </c>
      <c r="J118" s="42" t="n">
        <v>0.125</v>
      </c>
      <c r="K118" s="42" t="n">
        <v>0.12</v>
      </c>
      <c r="L118" s="42" t="n">
        <v>0.115</v>
      </c>
      <c r="M118" s="42" t="n">
        <v>0.11</v>
      </c>
      <c r="N118" s="42" t="n">
        <v>0.1075</v>
      </c>
      <c r="O118" s="42" t="n">
        <v>0.105</v>
      </c>
      <c r="P118" s="42" t="n">
        <v>0.1</v>
      </c>
      <c r="R118" s="37">
        <f>IFERROR(R229/R13,"")</f>
        <v/>
      </c>
      <c r="S118" s="37">
        <f>IFERROR(S229/S13,"")</f>
        <v/>
      </c>
      <c r="T118" s="37">
        <f>IFERROR(T229/T13,"")</f>
        <v/>
      </c>
      <c r="W118" s="42" t="n">
        <v>0.095</v>
      </c>
      <c r="X118" s="42" t="n">
        <v>0.09</v>
      </c>
      <c r="Y118" s="42" t="n">
        <v>0.08500000000000001</v>
      </c>
    </row>
    <row r="119">
      <c r="D119" s="9" t="inlineStr">
        <is>
          <t>Capex incl. Cap. Interest (% of Revenue) [DRIVER]</t>
        </is>
      </c>
      <c r="G119" s="37">
        <f>IFERROR(-(G248+G249)/G13,"")</f>
        <v/>
      </c>
      <c r="H119" s="37">
        <f>IFERROR(-(H248+H249)/H13,"")</f>
        <v/>
      </c>
      <c r="I119" s="42" t="n">
        <v>1.75</v>
      </c>
      <c r="J119" s="42" t="n">
        <v>1.65</v>
      </c>
      <c r="K119" s="42" t="n">
        <v>1.55</v>
      </c>
      <c r="L119" s="42" t="n">
        <v>1.45</v>
      </c>
      <c r="M119" s="42" t="n">
        <v>1.35</v>
      </c>
      <c r="N119" s="42" t="n">
        <v>1.25</v>
      </c>
      <c r="O119" s="42" t="n">
        <v>1.15</v>
      </c>
      <c r="P119" s="42" t="n">
        <v>1.05</v>
      </c>
      <c r="R119" s="37">
        <f>IFERROR(-(R248+R249)/R13,"")</f>
        <v/>
      </c>
      <c r="S119" s="37">
        <f>IFERROR(-(S248+S249)/S13,"")</f>
        <v/>
      </c>
      <c r="T119" s="37">
        <f>IFERROR(-(T248+T249)/T13,"")</f>
        <v/>
      </c>
      <c r="W119" s="42" t="n">
        <v>0.85</v>
      </c>
      <c r="X119" s="42" t="n">
        <v>0.68</v>
      </c>
      <c r="Y119" s="42" t="n">
        <v>0.54</v>
      </c>
      <c r="AB119" s="42" t="n">
        <v>-0.2</v>
      </c>
      <c r="AC119" s="8" t="inlineStr">
        <is>
          <t>Capex% 175%→54% as Starship/V3/Colossus land</t>
        </is>
      </c>
    </row>
    <row r="120"/>
    <row r="121">
      <c r="D121" s="8" t="inlineStr">
        <is>
          <t>Reference: Mass to Orbit (metric tons) — INFO: not wired</t>
        </is>
      </c>
      <c r="G121" s="50" t="n">
        <v>450</v>
      </c>
      <c r="H121" s="50" t="n">
        <v>556</v>
      </c>
      <c r="R121" s="50" t="n">
        <v>1210</v>
      </c>
      <c r="S121" s="50" t="n">
        <v>1699</v>
      </c>
      <c r="T121" s="50" t="n">
        <v>2213</v>
      </c>
    </row>
    <row r="122">
      <c r="D122" s="8" t="inlineStr">
        <is>
          <t>Reference: Launches (#) — INFO: not wired</t>
        </is>
      </c>
      <c r="G122" s="50" t="n">
        <v>38</v>
      </c>
      <c r="H122" s="50" t="n">
        <v>40</v>
      </c>
      <c r="R122" s="50" t="n">
        <v>98</v>
      </c>
      <c r="S122" s="50" t="n">
        <v>138</v>
      </c>
      <c r="T122" s="50" t="n">
        <v>170</v>
      </c>
    </row>
    <row r="123">
      <c r="D123" s="8" t="inlineStr">
        <is>
          <t>Reference: Nameplate Compute Draw (GW) — INFO: not wired</t>
        </is>
      </c>
      <c r="G123" s="38" t="n">
        <v>0.3</v>
      </c>
      <c r="H123" s="38" t="n">
        <v>1</v>
      </c>
      <c r="R123" s="38" t="n">
        <v>0</v>
      </c>
      <c r="S123" s="38" t="n">
        <v>0.3</v>
      </c>
      <c r="T123" s="38" t="n">
        <v>0.8</v>
      </c>
    </row>
    <row r="124"/>
    <row r="125"/>
    <row r="126">
      <c r="B126" s="19" t="inlineStr">
        <is>
          <t>Balance Sheet</t>
        </is>
      </c>
      <c r="C126" s="19" t="n"/>
      <c r="D126" s="19" t="n"/>
      <c r="E126" s="19" t="n"/>
      <c r="F126" s="19" t="n"/>
      <c r="G126" s="19" t="n"/>
      <c r="H126" s="19" t="n"/>
      <c r="I126" s="19" t="n"/>
      <c r="J126" s="19" t="n"/>
      <c r="K126" s="19" t="n"/>
      <c r="L126" s="19" t="n"/>
      <c r="M126" s="19" t="n"/>
      <c r="N126" s="19" t="n"/>
      <c r="O126" s="19" t="n"/>
      <c r="P126" s="19" t="n"/>
      <c r="R126" s="19" t="n"/>
      <c r="S126" s="19" t="n"/>
      <c r="T126" s="19" t="n"/>
      <c r="U126" s="19" t="n"/>
      <c r="V126" s="19" t="n"/>
      <c r="W126" s="19" t="n"/>
      <c r="X126" s="19" t="n"/>
      <c r="Y126" s="19" t="n"/>
    </row>
    <row r="127">
      <c r="C127" s="8" t="inlineStr">
        <is>
          <t>Source: 424B4 — Dec-31-2024/2025 audited + Mar-31-2026 unaudited. NO Mar-31-2025 or Dec-31-2023 BS filed (pre-IPO depth); those columns blank — expected.</t>
        </is>
      </c>
    </row>
    <row r="128">
      <c r="A128" s="12" t="inlineStr">
        <is>
          <t>x</t>
        </is>
      </c>
      <c r="D128" s="9" t="inlineStr">
        <is>
          <t>Cash and Cash Equivalents</t>
        </is>
      </c>
      <c r="G128" s="43" t="n"/>
      <c r="H128" s="35" t="n">
        <v>15852</v>
      </c>
      <c r="I128" s="36">
        <f>I275-I278-I279</f>
        <v/>
      </c>
      <c r="J128" s="36">
        <f>J275-J278-J279</f>
        <v/>
      </c>
      <c r="K128" s="36">
        <f>K275-K278-K279</f>
        <v/>
      </c>
      <c r="L128" s="36">
        <f>L275-L278-L279</f>
        <v/>
      </c>
      <c r="M128" s="36">
        <f>M275-M278-M279</f>
        <v/>
      </c>
      <c r="N128" s="36">
        <f>N275-N278-N279</f>
        <v/>
      </c>
      <c r="O128" s="36">
        <f>O275-O278-O279</f>
        <v/>
      </c>
      <c r="P128" s="36">
        <f>P275-P278-P279</f>
        <v/>
      </c>
      <c r="R128" s="43" t="n"/>
      <c r="S128" s="35" t="n">
        <v>11385</v>
      </c>
      <c r="T128" s="35" t="n">
        <v>24747</v>
      </c>
      <c r="U128" s="36">
        <f>K128</f>
        <v/>
      </c>
      <c r="V128" s="36">
        <f>O128</f>
        <v/>
      </c>
      <c r="W128" s="36">
        <f>W275-W278-W279</f>
        <v/>
      </c>
      <c r="X128" s="36">
        <f>X275-X278-X279</f>
        <v/>
      </c>
      <c r="Y128" s="36">
        <f>Y275-Y278-Y279</f>
        <v/>
      </c>
    </row>
    <row r="129">
      <c r="D129" s="9" t="inlineStr">
        <is>
          <t>Marketable Securities</t>
        </is>
      </c>
      <c r="G129" s="44" t="n"/>
      <c r="H129" s="38" t="n">
        <v>7823</v>
      </c>
      <c r="I129" s="39">
        <f>H129</f>
        <v/>
      </c>
      <c r="J129" s="39">
        <f>I129</f>
        <v/>
      </c>
      <c r="K129" s="39">
        <f>J129</f>
        <v/>
      </c>
      <c r="L129" s="39">
        <f>K129</f>
        <v/>
      </c>
      <c r="M129" s="39">
        <f>L129</f>
        <v/>
      </c>
      <c r="N129" s="39">
        <f>M129</f>
        <v/>
      </c>
      <c r="O129" s="39">
        <f>N129</f>
        <v/>
      </c>
      <c r="P129" s="39">
        <f>O129</f>
        <v/>
      </c>
      <c r="R129" s="44" t="n"/>
      <c r="S129" s="38" t="n">
        <v>800</v>
      </c>
      <c r="T129" s="38" t="n">
        <v>0</v>
      </c>
      <c r="U129" s="39">
        <f>K129</f>
        <v/>
      </c>
      <c r="V129" s="39">
        <f>O129</f>
        <v/>
      </c>
      <c r="W129" s="39">
        <f>V129</f>
        <v/>
      </c>
      <c r="X129" s="39">
        <f>W129</f>
        <v/>
      </c>
      <c r="Y129" s="39">
        <f>X129</f>
        <v/>
      </c>
    </row>
    <row r="130">
      <c r="D130" s="9" t="inlineStr">
        <is>
          <t>Accounts Receivable, net</t>
        </is>
      </c>
      <c r="G130" s="44" t="n"/>
      <c r="H130" s="38" t="n">
        <v>1833</v>
      </c>
      <c r="I130" s="39">
        <f>I208/I179*I13</f>
        <v/>
      </c>
      <c r="J130" s="39">
        <f>J208/J179*J13</f>
        <v/>
      </c>
      <c r="K130" s="39">
        <f>K208/K179*K13</f>
        <v/>
      </c>
      <c r="L130" s="39">
        <f>L208/L179*L13</f>
        <v/>
      </c>
      <c r="M130" s="39">
        <f>M208/M179*M13</f>
        <v/>
      </c>
      <c r="N130" s="39">
        <f>N208/N179*N13</f>
        <v/>
      </c>
      <c r="O130" s="39">
        <f>O208/O179*O13</f>
        <v/>
      </c>
      <c r="P130" s="39">
        <f>P208/P179*P13</f>
        <v/>
      </c>
      <c r="R130" s="44" t="n"/>
      <c r="S130" s="38" t="n">
        <v>1052</v>
      </c>
      <c r="T130" s="38" t="n">
        <v>1579</v>
      </c>
      <c r="U130" s="39">
        <f>K130</f>
        <v/>
      </c>
      <c r="V130" s="39">
        <f>O130</f>
        <v/>
      </c>
      <c r="W130" s="39">
        <f>W208/W179*W13</f>
        <v/>
      </c>
      <c r="X130" s="39">
        <f>X208/X179*X13</f>
        <v/>
      </c>
      <c r="Y130" s="39">
        <f>Y208/Y179*Y13</f>
        <v/>
      </c>
    </row>
    <row r="131">
      <c r="D131" s="9" t="inlineStr">
        <is>
          <t>Inventory</t>
        </is>
      </c>
      <c r="G131" s="44" t="n"/>
      <c r="H131" s="38" t="n">
        <v>2588</v>
      </c>
      <c r="I131" s="39">
        <f>I209/I179*-I16</f>
        <v/>
      </c>
      <c r="J131" s="39">
        <f>J209/J179*-J16</f>
        <v/>
      </c>
      <c r="K131" s="39">
        <f>K209/K179*-K16</f>
        <v/>
      </c>
      <c r="L131" s="39">
        <f>L209/L179*-L16</f>
        <v/>
      </c>
      <c r="M131" s="39">
        <f>M209/M179*-M16</f>
        <v/>
      </c>
      <c r="N131" s="39">
        <f>N209/N179*-N16</f>
        <v/>
      </c>
      <c r="O131" s="39">
        <f>O209/O179*-O16</f>
        <v/>
      </c>
      <c r="P131" s="39">
        <f>P209/P179*-P16</f>
        <v/>
      </c>
      <c r="R131" s="44" t="n"/>
      <c r="S131" s="38" t="n">
        <v>2003</v>
      </c>
      <c r="T131" s="38" t="n">
        <v>2416</v>
      </c>
      <c r="U131" s="39">
        <f>K131</f>
        <v/>
      </c>
      <c r="V131" s="39">
        <f>O131</f>
        <v/>
      </c>
      <c r="W131" s="39">
        <f>W209/W179*-W16</f>
        <v/>
      </c>
      <c r="X131" s="39">
        <f>X209/X179*-X16</f>
        <v/>
      </c>
      <c r="Y131" s="39">
        <f>Y209/Y179*-Y16</f>
        <v/>
      </c>
    </row>
    <row r="132">
      <c r="D132" s="9" t="inlineStr">
        <is>
          <t>Prepaid Expenses &amp; Other Current Assets</t>
        </is>
      </c>
      <c r="G132" s="44" t="n"/>
      <c r="H132" s="38" t="n">
        <v>1636</v>
      </c>
      <c r="I132" s="39">
        <f>I212*I13</f>
        <v/>
      </c>
      <c r="J132" s="39">
        <f>J212*J13</f>
        <v/>
      </c>
      <c r="K132" s="39">
        <f>K212*K13</f>
        <v/>
      </c>
      <c r="L132" s="39">
        <f>L212*L13</f>
        <v/>
      </c>
      <c r="M132" s="39">
        <f>M212*M13</f>
        <v/>
      </c>
      <c r="N132" s="39">
        <f>N212*N13</f>
        <v/>
      </c>
      <c r="O132" s="39">
        <f>O212*O13</f>
        <v/>
      </c>
      <c r="P132" s="39">
        <f>P212*P13</f>
        <v/>
      </c>
      <c r="R132" s="44" t="n"/>
      <c r="S132" s="38" t="n">
        <v>868</v>
      </c>
      <c r="T132" s="38" t="n">
        <v>2210</v>
      </c>
      <c r="U132" s="39">
        <f>K132</f>
        <v/>
      </c>
      <c r="V132" s="39">
        <f>O132</f>
        <v/>
      </c>
      <c r="W132" s="39">
        <f>W212*W13</f>
        <v/>
      </c>
      <c r="X132" s="39">
        <f>X212*X13</f>
        <v/>
      </c>
      <c r="Y132" s="39">
        <f>Y212*Y13</f>
        <v/>
      </c>
    </row>
    <row r="133">
      <c r="A133" s="12" t="inlineStr">
        <is>
          <t>x</t>
        </is>
      </c>
      <c r="C133" s="13" t="inlineStr">
        <is>
          <t>Total Current Assets</t>
        </is>
      </c>
      <c r="G133" s="40">
        <f>SUM(G128:G132)</f>
        <v/>
      </c>
      <c r="H133" s="40">
        <f>SUM(H128:H132)</f>
        <v/>
      </c>
      <c r="I133" s="40">
        <f>SUM(I128:I132)</f>
        <v/>
      </c>
      <c r="J133" s="40">
        <f>SUM(J128:J132)</f>
        <v/>
      </c>
      <c r="K133" s="40">
        <f>SUM(K128:K132)</f>
        <v/>
      </c>
      <c r="L133" s="40">
        <f>SUM(L128:L132)</f>
        <v/>
      </c>
      <c r="M133" s="40">
        <f>SUM(M128:M132)</f>
        <v/>
      </c>
      <c r="N133" s="40">
        <f>SUM(N128:N132)</f>
        <v/>
      </c>
      <c r="O133" s="40">
        <f>SUM(O128:O132)</f>
        <v/>
      </c>
      <c r="P133" s="40">
        <f>SUM(P128:P132)</f>
        <v/>
      </c>
      <c r="R133" s="40">
        <f>SUM(R128:R132)</f>
        <v/>
      </c>
      <c r="S133" s="40">
        <f>SUM(S128:S132)</f>
        <v/>
      </c>
      <c r="T133" s="40">
        <f>SUM(T128:T132)</f>
        <v/>
      </c>
      <c r="U133" s="40">
        <f>SUM(U128:U132)</f>
        <v/>
      </c>
      <c r="V133" s="40">
        <f>SUM(V128:V132)</f>
        <v/>
      </c>
      <c r="W133" s="40">
        <f>SUM(W128:W132)</f>
        <v/>
      </c>
      <c r="X133" s="40">
        <f>SUM(X128:X132)</f>
        <v/>
      </c>
      <c r="Y133" s="40">
        <f>SUM(Y128:Y132)</f>
        <v/>
      </c>
    </row>
    <row r="134">
      <c r="D134" s="8" t="inlineStr">
        <is>
          <t>Reconciliation: variance vs. as-reported</t>
        </is>
      </c>
      <c r="G134" s="41">
        <f>IF(_reported!G22="","",G133-_reported!G22)</f>
        <v/>
      </c>
      <c r="H134" s="41">
        <f>IF(_reported!H22="","",H133-_reported!H22)</f>
        <v/>
      </c>
      <c r="R134" s="41">
        <f>IF(_reported!R22="","",R133-_reported!R22)</f>
        <v/>
      </c>
      <c r="S134" s="41">
        <f>IF(_reported!S22="","",S133-_reported!S22)</f>
        <v/>
      </c>
      <c r="T134" s="41">
        <f>IF(_reported!T22="","",T133-_reported!T22)</f>
        <v/>
      </c>
    </row>
    <row r="135"/>
    <row r="136">
      <c r="D136" s="9" t="inlineStr">
        <is>
          <t>Property, Plant &amp; Equipment, net</t>
        </is>
      </c>
      <c r="G136" s="43" t="n"/>
      <c r="H136" s="35" t="n">
        <v>53879</v>
      </c>
      <c r="I136" s="36">
        <f>H136-I248-I249-I219</f>
        <v/>
      </c>
      <c r="J136" s="36">
        <f>I136-J248-J249-J219</f>
        <v/>
      </c>
      <c r="K136" s="36">
        <f>J136-K248-K249-K219</f>
        <v/>
      </c>
      <c r="L136" s="36">
        <f>K136-L248-L249-L219</f>
        <v/>
      </c>
      <c r="M136" s="36">
        <f>L136-M248-M249-M219</f>
        <v/>
      </c>
      <c r="N136" s="36">
        <f>M136-N248-N249-N219</f>
        <v/>
      </c>
      <c r="O136" s="36">
        <f>N136-O248-O249-O219</f>
        <v/>
      </c>
      <c r="P136" s="36">
        <f>O136-P248-P249-P219</f>
        <v/>
      </c>
      <c r="R136" s="43" t="n"/>
      <c r="S136" s="35" t="n">
        <v>21147</v>
      </c>
      <c r="T136" s="35" t="n">
        <v>42602</v>
      </c>
      <c r="U136" s="36">
        <f>K136</f>
        <v/>
      </c>
      <c r="V136" s="36">
        <f>O136</f>
        <v/>
      </c>
      <c r="W136" s="36">
        <f>V136-W248-W249-W219</f>
        <v/>
      </c>
      <c r="X136" s="36">
        <f>W136-X248-X249-X219</f>
        <v/>
      </c>
      <c r="Y136" s="36">
        <f>X136-Y248-Y249-Y219</f>
        <v/>
      </c>
    </row>
    <row r="137">
      <c r="D137" s="9" t="inlineStr">
        <is>
          <t>Finance Lease Right-of-Use Assets</t>
        </is>
      </c>
      <c r="G137" s="44" t="n"/>
      <c r="H137" s="38" t="n">
        <v>1182</v>
      </c>
      <c r="I137" s="39">
        <f>H137</f>
        <v/>
      </c>
      <c r="J137" s="39">
        <f>I137</f>
        <v/>
      </c>
      <c r="K137" s="39">
        <f>J137</f>
        <v/>
      </c>
      <c r="L137" s="39">
        <f>K137</f>
        <v/>
      </c>
      <c r="M137" s="39">
        <f>L137</f>
        <v/>
      </c>
      <c r="N137" s="39">
        <f>M137</f>
        <v/>
      </c>
      <c r="O137" s="39">
        <f>N137</f>
        <v/>
      </c>
      <c r="P137" s="39">
        <f>O137</f>
        <v/>
      </c>
      <c r="R137" s="44" t="n"/>
      <c r="S137" s="38" t="n">
        <v>1686</v>
      </c>
      <c r="T137" s="38" t="n">
        <v>1260</v>
      </c>
      <c r="U137" s="39">
        <f>K137</f>
        <v/>
      </c>
      <c r="V137" s="39">
        <f>O137</f>
        <v/>
      </c>
      <c r="W137" s="39">
        <f>V137</f>
        <v/>
      </c>
      <c r="X137" s="39">
        <f>W137</f>
        <v/>
      </c>
      <c r="Y137" s="39">
        <f>X137</f>
        <v/>
      </c>
    </row>
    <row r="138">
      <c r="D138" s="9" t="inlineStr">
        <is>
          <t>Intangible Assets, net</t>
        </is>
      </c>
      <c r="G138" s="44" t="n"/>
      <c r="H138" s="38" t="n">
        <v>1432</v>
      </c>
      <c r="I138" s="39">
        <f>H138-I220</f>
        <v/>
      </c>
      <c r="J138" s="39">
        <f>I138-J220</f>
        <v/>
      </c>
      <c r="K138" s="39">
        <f>J138-K220</f>
        <v/>
      </c>
      <c r="L138" s="39">
        <f>K138-L220</f>
        <v/>
      </c>
      <c r="M138" s="39">
        <f>L138-M220</f>
        <v/>
      </c>
      <c r="N138" s="39">
        <f>M138-N220</f>
        <v/>
      </c>
      <c r="O138" s="39">
        <f>N138-O220</f>
        <v/>
      </c>
      <c r="P138" s="39">
        <f>O138-P220</f>
        <v/>
      </c>
      <c r="R138" s="44" t="n"/>
      <c r="S138" s="38" t="n">
        <v>2211</v>
      </c>
      <c r="T138" s="38" t="n">
        <v>1548</v>
      </c>
      <c r="U138" s="39">
        <f>K138</f>
        <v/>
      </c>
      <c r="V138" s="39">
        <f>O138</f>
        <v/>
      </c>
      <c r="W138" s="39">
        <f>V138-W220</f>
        <v/>
      </c>
      <c r="X138" s="39">
        <f>W138-X220</f>
        <v/>
      </c>
      <c r="Y138" s="39">
        <f>X138-Y220</f>
        <v/>
      </c>
    </row>
    <row r="139">
      <c r="D139" s="9" t="inlineStr">
        <is>
          <t>Digital Assets</t>
        </is>
      </c>
      <c r="G139" s="44" t="n"/>
      <c r="H139" s="38" t="n">
        <v>1293</v>
      </c>
      <c r="I139" s="39">
        <f>H139</f>
        <v/>
      </c>
      <c r="J139" s="39">
        <f>I139</f>
        <v/>
      </c>
      <c r="K139" s="39">
        <f>J139</f>
        <v/>
      </c>
      <c r="L139" s="39">
        <f>K139</f>
        <v/>
      </c>
      <c r="M139" s="39">
        <f>L139</f>
        <v/>
      </c>
      <c r="N139" s="39">
        <f>M139</f>
        <v/>
      </c>
      <c r="O139" s="39">
        <f>N139</f>
        <v/>
      </c>
      <c r="P139" s="39">
        <f>O139</f>
        <v/>
      </c>
      <c r="R139" s="44" t="n"/>
      <c r="S139" s="38" t="n">
        <v>1749</v>
      </c>
      <c r="T139" s="38" t="n">
        <v>1637</v>
      </c>
      <c r="U139" s="39">
        <f>K139</f>
        <v/>
      </c>
      <c r="V139" s="39">
        <f>O139</f>
        <v/>
      </c>
      <c r="W139" s="39">
        <f>V139</f>
        <v/>
      </c>
      <c r="X139" s="39">
        <f>W139</f>
        <v/>
      </c>
      <c r="Y139" s="39">
        <f>X139</f>
        <v/>
      </c>
    </row>
    <row r="140">
      <c r="D140" s="9" t="inlineStr">
        <is>
          <t>Goodwill</t>
        </is>
      </c>
      <c r="G140" s="44" t="n"/>
      <c r="H140" s="38" t="n">
        <v>11681</v>
      </c>
      <c r="I140" s="39">
        <f>H140</f>
        <v/>
      </c>
      <c r="J140" s="39">
        <f>I140</f>
        <v/>
      </c>
      <c r="K140" s="39">
        <f>J140</f>
        <v/>
      </c>
      <c r="L140" s="39">
        <f>K140</f>
        <v/>
      </c>
      <c r="M140" s="39">
        <f>L140</f>
        <v/>
      </c>
      <c r="N140" s="39">
        <f>M140</f>
        <v/>
      </c>
      <c r="O140" s="39">
        <f>N140</f>
        <v/>
      </c>
      <c r="P140" s="39">
        <f>O140</f>
        <v/>
      </c>
      <c r="R140" s="44" t="n"/>
      <c r="S140" s="38" t="n">
        <v>11129</v>
      </c>
      <c r="T140" s="38" t="n">
        <v>11809</v>
      </c>
      <c r="U140" s="39">
        <f>K140</f>
        <v/>
      </c>
      <c r="V140" s="39">
        <f>O140</f>
        <v/>
      </c>
      <c r="W140" s="39">
        <f>V140</f>
        <v/>
      </c>
      <c r="X140" s="39">
        <f>W140</f>
        <v/>
      </c>
      <c r="Y140" s="39">
        <f>X140</f>
        <v/>
      </c>
    </row>
    <row r="141">
      <c r="D141" s="9" t="inlineStr">
        <is>
          <t>Deferred Tax Assets</t>
        </is>
      </c>
      <c r="G141" s="44" t="n"/>
      <c r="H141" s="38" t="n">
        <v>213</v>
      </c>
      <c r="I141" s="39">
        <f>H141</f>
        <v/>
      </c>
      <c r="J141" s="39">
        <f>I141</f>
        <v/>
      </c>
      <c r="K141" s="39">
        <f>J141</f>
        <v/>
      </c>
      <c r="L141" s="39">
        <f>K141</f>
        <v/>
      </c>
      <c r="M141" s="39">
        <f>L141</f>
        <v/>
      </c>
      <c r="N141" s="39">
        <f>M141</f>
        <v/>
      </c>
      <c r="O141" s="39">
        <f>N141</f>
        <v/>
      </c>
      <c r="P141" s="39">
        <f>O141</f>
        <v/>
      </c>
      <c r="R141" s="44" t="n"/>
      <c r="S141" s="38" t="n">
        <v>696</v>
      </c>
      <c r="T141" s="38" t="n">
        <v>141</v>
      </c>
      <c r="U141" s="39">
        <f>K141</f>
        <v/>
      </c>
      <c r="V141" s="39">
        <f>O141</f>
        <v/>
      </c>
      <c r="W141" s="39">
        <f>V141</f>
        <v/>
      </c>
      <c r="X141" s="39">
        <f>W141</f>
        <v/>
      </c>
      <c r="Y141" s="39">
        <f>X141</f>
        <v/>
      </c>
    </row>
    <row r="142">
      <c r="D142" s="9" t="inlineStr">
        <is>
          <t>Other Assets</t>
        </is>
      </c>
      <c r="G142" s="44" t="n"/>
      <c r="H142" s="38" t="n">
        <v>2682</v>
      </c>
      <c r="I142" s="39">
        <f>H142</f>
        <v/>
      </c>
      <c r="J142" s="39">
        <f>I142</f>
        <v/>
      </c>
      <c r="K142" s="39">
        <f>J142</f>
        <v/>
      </c>
      <c r="L142" s="39">
        <f>K142</f>
        <v/>
      </c>
      <c r="M142" s="39">
        <f>L142</f>
        <v/>
      </c>
      <c r="N142" s="39">
        <f>M142</f>
        <v/>
      </c>
      <c r="O142" s="39">
        <f>N142</f>
        <v/>
      </c>
      <c r="P142" s="39">
        <f>O142</f>
        <v/>
      </c>
      <c r="R142" s="44" t="n"/>
      <c r="S142" s="38" t="n">
        <v>2336</v>
      </c>
      <c r="T142" s="38" t="n">
        <v>2130</v>
      </c>
      <c r="U142" s="39">
        <f>K142</f>
        <v/>
      </c>
      <c r="V142" s="39">
        <f>O142</f>
        <v/>
      </c>
      <c r="W142" s="39">
        <f>V142</f>
        <v/>
      </c>
      <c r="X142" s="39">
        <f>W142</f>
        <v/>
      </c>
      <c r="Y142" s="39">
        <f>X142</f>
        <v/>
      </c>
    </row>
    <row r="143">
      <c r="A143" s="12" t="inlineStr">
        <is>
          <t>x</t>
        </is>
      </c>
      <c r="B143" s="13" t="inlineStr">
        <is>
          <t>Total Assets</t>
        </is>
      </c>
      <c r="G143" s="40">
        <f>G133+SUM(G136:G142)</f>
        <v/>
      </c>
      <c r="H143" s="40">
        <f>H133+SUM(H136:H142)</f>
        <v/>
      </c>
      <c r="I143" s="40">
        <f>I133+SUM(I136:I142)</f>
        <v/>
      </c>
      <c r="J143" s="40">
        <f>J133+SUM(J136:J142)</f>
        <v/>
      </c>
      <c r="K143" s="40">
        <f>K133+SUM(K136:K142)</f>
        <v/>
      </c>
      <c r="L143" s="40">
        <f>L133+SUM(L136:L142)</f>
        <v/>
      </c>
      <c r="M143" s="40">
        <f>M133+SUM(M136:M142)</f>
        <v/>
      </c>
      <c r="N143" s="40">
        <f>N133+SUM(N136:N142)</f>
        <v/>
      </c>
      <c r="O143" s="40">
        <f>O133+SUM(O136:O142)</f>
        <v/>
      </c>
      <c r="P143" s="40">
        <f>P133+SUM(P136:P142)</f>
        <v/>
      </c>
      <c r="R143" s="40">
        <f>R133+SUM(R136:R142)</f>
        <v/>
      </c>
      <c r="S143" s="40">
        <f>S133+SUM(S136:S142)</f>
        <v/>
      </c>
      <c r="T143" s="40">
        <f>T133+SUM(T136:T142)</f>
        <v/>
      </c>
      <c r="U143" s="40">
        <f>U133+SUM(U136:U142)</f>
        <v/>
      </c>
      <c r="V143" s="40">
        <f>V133+SUM(V136:V142)</f>
        <v/>
      </c>
      <c r="W143" s="40">
        <f>W133+SUM(W136:W142)</f>
        <v/>
      </c>
      <c r="X143" s="40">
        <f>X133+SUM(X136:X142)</f>
        <v/>
      </c>
      <c r="Y143" s="40">
        <f>Y133+SUM(Y136:Y142)</f>
        <v/>
      </c>
    </row>
    <row r="144">
      <c r="D144" s="8" t="inlineStr">
        <is>
          <t>Reconciliation: variance vs. as-reported</t>
        </is>
      </c>
      <c r="G144" s="41">
        <f>IF(_reported!G23="","",G143-_reported!G23)</f>
        <v/>
      </c>
      <c r="H144" s="41">
        <f>IF(_reported!H23="","",H143-_reported!H23)</f>
        <v/>
      </c>
      <c r="R144" s="41">
        <f>IF(_reported!R23="","",R143-_reported!R23)</f>
        <v/>
      </c>
      <c r="S144" s="41">
        <f>IF(_reported!S23="","",S143-_reported!S23)</f>
        <v/>
      </c>
      <c r="T144" s="41">
        <f>IF(_reported!T23="","",T143-_reported!T23)</f>
        <v/>
      </c>
    </row>
    <row r="145"/>
    <row r="146">
      <c r="D146" s="9" t="inlineStr">
        <is>
          <t>Accounts Payable</t>
        </is>
      </c>
      <c r="G146" s="43" t="n"/>
      <c r="H146" s="35" t="n">
        <v>10002</v>
      </c>
      <c r="I146" s="36">
        <f>I210/I179*-I16</f>
        <v/>
      </c>
      <c r="J146" s="36">
        <f>J210/J179*-J16</f>
        <v/>
      </c>
      <c r="K146" s="36">
        <f>K210/K179*-K16</f>
        <v/>
      </c>
      <c r="L146" s="36">
        <f>L210/L179*-L16</f>
        <v/>
      </c>
      <c r="M146" s="36">
        <f>M210/M179*-M16</f>
        <v/>
      </c>
      <c r="N146" s="36">
        <f>N210/N179*-N16</f>
        <v/>
      </c>
      <c r="O146" s="36">
        <f>O210/O179*-O16</f>
        <v/>
      </c>
      <c r="P146" s="36">
        <f>P210/P179*-P16</f>
        <v/>
      </c>
      <c r="R146" s="43" t="n"/>
      <c r="S146" s="35" t="n">
        <v>4413</v>
      </c>
      <c r="T146" s="35" t="n">
        <v>11792</v>
      </c>
      <c r="U146" s="36">
        <f>K146</f>
        <v/>
      </c>
      <c r="V146" s="36">
        <f>O146</f>
        <v/>
      </c>
      <c r="W146" s="36">
        <f>W210/W179*-W16</f>
        <v/>
      </c>
      <c r="X146" s="36">
        <f>X210/X179*-X16</f>
        <v/>
      </c>
      <c r="Y146" s="36">
        <f>Y210/Y179*-Y16</f>
        <v/>
      </c>
    </row>
    <row r="147">
      <c r="D147" s="9" t="inlineStr">
        <is>
          <t>Deferred Revenue, Current</t>
        </is>
      </c>
      <c r="G147" s="44" t="n"/>
      <c r="H147" s="38" t="n">
        <v>7207</v>
      </c>
      <c r="I147" s="39">
        <f>I211/I179*I13</f>
        <v/>
      </c>
      <c r="J147" s="39">
        <f>J211/J179*J13</f>
        <v/>
      </c>
      <c r="K147" s="39">
        <f>K211/K179*K13</f>
        <v/>
      </c>
      <c r="L147" s="39">
        <f>L211/L179*L13</f>
        <v/>
      </c>
      <c r="M147" s="39">
        <f>M211/M179*M13</f>
        <v/>
      </c>
      <c r="N147" s="39">
        <f>N211/N179*N13</f>
        <v/>
      </c>
      <c r="O147" s="39">
        <f>O211/O179*O13</f>
        <v/>
      </c>
      <c r="P147" s="39">
        <f>P211/P179*P13</f>
        <v/>
      </c>
      <c r="R147" s="44" t="n"/>
      <c r="S147" s="38" t="n">
        <v>5498</v>
      </c>
      <c r="T147" s="38" t="n">
        <v>6111</v>
      </c>
      <c r="U147" s="39">
        <f>K147</f>
        <v/>
      </c>
      <c r="V147" s="39">
        <f>O147</f>
        <v/>
      </c>
      <c r="W147" s="39">
        <f>W211/W179*W13</f>
        <v/>
      </c>
      <c r="X147" s="39">
        <f>X211/X179*X13</f>
        <v/>
      </c>
      <c r="Y147" s="39">
        <f>Y211/Y179*Y13</f>
        <v/>
      </c>
    </row>
    <row r="148">
      <c r="D148" s="9" t="inlineStr">
        <is>
          <t>Debt and Finance Leases, Current</t>
        </is>
      </c>
      <c r="G148" s="44" t="n"/>
      <c r="H148" s="38" t="n">
        <v>1538</v>
      </c>
      <c r="I148" s="39">
        <f>H148</f>
        <v/>
      </c>
      <c r="J148" s="39">
        <f>I148</f>
        <v/>
      </c>
      <c r="K148" s="39">
        <f>J148</f>
        <v/>
      </c>
      <c r="L148" s="39">
        <f>K148</f>
        <v/>
      </c>
      <c r="M148" s="39">
        <f>L148</f>
        <v/>
      </c>
      <c r="N148" s="39">
        <f>M148</f>
        <v/>
      </c>
      <c r="O148" s="39">
        <f>N148</f>
        <v/>
      </c>
      <c r="P148" s="39">
        <f>O148</f>
        <v/>
      </c>
      <c r="R148" s="44" t="n"/>
      <c r="S148" s="38" t="n">
        <v>372</v>
      </c>
      <c r="T148" s="38" t="n">
        <v>928</v>
      </c>
      <c r="U148" s="39">
        <f>K148</f>
        <v/>
      </c>
      <c r="V148" s="39">
        <f>O148</f>
        <v/>
      </c>
      <c r="W148" s="39">
        <f>V148</f>
        <v/>
      </c>
      <c r="X148" s="39">
        <f>W148</f>
        <v/>
      </c>
      <c r="Y148" s="39">
        <f>X148</f>
        <v/>
      </c>
    </row>
    <row r="149">
      <c r="D149" s="9" t="inlineStr">
        <is>
          <t>Accrued Expenses &amp; Other Current Liabilities</t>
        </is>
      </c>
      <c r="G149" s="44" t="n"/>
      <c r="H149" s="38" t="n">
        <v>5689</v>
      </c>
      <c r="I149" s="39">
        <f>I213*I13</f>
        <v/>
      </c>
      <c r="J149" s="39">
        <f>J213*J13</f>
        <v/>
      </c>
      <c r="K149" s="39">
        <f>K213*K13</f>
        <v/>
      </c>
      <c r="L149" s="39">
        <f>L213*L13</f>
        <v/>
      </c>
      <c r="M149" s="39">
        <f>M213*M13</f>
        <v/>
      </c>
      <c r="N149" s="39">
        <f>N213*N13</f>
        <v/>
      </c>
      <c r="O149" s="39">
        <f>O213*O13</f>
        <v/>
      </c>
      <c r="P149" s="39">
        <f>P213*P13</f>
        <v/>
      </c>
      <c r="R149" s="44" t="n"/>
      <c r="S149" s="38" t="n">
        <v>1508</v>
      </c>
      <c r="T149" s="38" t="n">
        <v>2569</v>
      </c>
      <c r="U149" s="39">
        <f>K149</f>
        <v/>
      </c>
      <c r="V149" s="39">
        <f>O149</f>
        <v/>
      </c>
      <c r="W149" s="39">
        <f>W213*W13</f>
        <v/>
      </c>
      <c r="X149" s="39">
        <f>X213*X13</f>
        <v/>
      </c>
      <c r="Y149" s="39">
        <f>Y213*Y13</f>
        <v/>
      </c>
    </row>
    <row r="150">
      <c r="A150" s="12" t="inlineStr">
        <is>
          <t>x</t>
        </is>
      </c>
      <c r="C150" s="13" t="inlineStr">
        <is>
          <t>Total Current Liabilities</t>
        </is>
      </c>
      <c r="G150" s="40">
        <f>SUM(G146:G149)</f>
        <v/>
      </c>
      <c r="H150" s="40">
        <f>SUM(H146:H149)</f>
        <v/>
      </c>
      <c r="I150" s="40">
        <f>SUM(I146:I149)</f>
        <v/>
      </c>
      <c r="J150" s="40">
        <f>SUM(J146:J149)</f>
        <v/>
      </c>
      <c r="K150" s="40">
        <f>SUM(K146:K149)</f>
        <v/>
      </c>
      <c r="L150" s="40">
        <f>SUM(L146:L149)</f>
        <v/>
      </c>
      <c r="M150" s="40">
        <f>SUM(M146:M149)</f>
        <v/>
      </c>
      <c r="N150" s="40">
        <f>SUM(N146:N149)</f>
        <v/>
      </c>
      <c r="O150" s="40">
        <f>SUM(O146:O149)</f>
        <v/>
      </c>
      <c r="P150" s="40">
        <f>SUM(P146:P149)</f>
        <v/>
      </c>
      <c r="R150" s="40">
        <f>SUM(R146:R149)</f>
        <v/>
      </c>
      <c r="S150" s="40">
        <f>SUM(S146:S149)</f>
        <v/>
      </c>
      <c r="T150" s="40">
        <f>SUM(T146:T149)</f>
        <v/>
      </c>
      <c r="U150" s="40">
        <f>SUM(U146:U149)</f>
        <v/>
      </c>
      <c r="V150" s="40">
        <f>SUM(V146:V149)</f>
        <v/>
      </c>
      <c r="W150" s="40">
        <f>SUM(W146:W149)</f>
        <v/>
      </c>
      <c r="X150" s="40">
        <f>SUM(X146:X149)</f>
        <v/>
      </c>
      <c r="Y150" s="40">
        <f>SUM(Y146:Y149)</f>
        <v/>
      </c>
    </row>
    <row r="151">
      <c r="D151" s="8" t="inlineStr">
        <is>
          <t>Reconciliation: variance vs. as-reported</t>
        </is>
      </c>
      <c r="G151" s="41">
        <f>IF(_reported!G24="","",G150-_reported!G24)</f>
        <v/>
      </c>
      <c r="H151" s="41">
        <f>IF(_reported!H24="","",H150-_reported!H24)</f>
        <v/>
      </c>
      <c r="R151" s="41">
        <f>IF(_reported!R24="","",R150-_reported!R24)</f>
        <v/>
      </c>
      <c r="S151" s="41">
        <f>IF(_reported!S24="","",S150-_reported!S24)</f>
        <v/>
      </c>
      <c r="T151" s="41">
        <f>IF(_reported!T24="","",T150-_reported!T24)</f>
        <v/>
      </c>
    </row>
    <row r="152"/>
    <row r="153">
      <c r="D153" s="9" t="inlineStr">
        <is>
          <t>Deferred Revenue, Net of Current</t>
        </is>
      </c>
      <c r="G153" s="43" t="n"/>
      <c r="H153" s="35" t="n">
        <v>6029</v>
      </c>
      <c r="I153" s="36">
        <f>I214*I13</f>
        <v/>
      </c>
      <c r="J153" s="36">
        <f>J214*J13</f>
        <v/>
      </c>
      <c r="K153" s="36">
        <f>K214*K13</f>
        <v/>
      </c>
      <c r="L153" s="36">
        <f>L214*L13</f>
        <v/>
      </c>
      <c r="M153" s="36">
        <f>M214*M13</f>
        <v/>
      </c>
      <c r="N153" s="36">
        <f>N214*N13</f>
        <v/>
      </c>
      <c r="O153" s="36">
        <f>O214*O13</f>
        <v/>
      </c>
      <c r="P153" s="36">
        <f>P214*P13</f>
        <v/>
      </c>
      <c r="R153" s="43" t="n"/>
      <c r="S153" s="35" t="n">
        <v>4681</v>
      </c>
      <c r="T153" s="35" t="n">
        <v>6005</v>
      </c>
      <c r="U153" s="36">
        <f>K153</f>
        <v/>
      </c>
      <c r="V153" s="36">
        <f>O153</f>
        <v/>
      </c>
      <c r="W153" s="36">
        <f>W214*W13</f>
        <v/>
      </c>
      <c r="X153" s="36">
        <f>X214*X13</f>
        <v/>
      </c>
      <c r="Y153" s="36">
        <f>Y214*Y13</f>
        <v/>
      </c>
    </row>
    <row r="154">
      <c r="D154" s="9" t="inlineStr">
        <is>
          <t>Debt and Finance Leases, Net of Current</t>
        </is>
      </c>
      <c r="G154" s="44" t="n"/>
      <c r="H154" s="38" t="n">
        <v>28727</v>
      </c>
      <c r="I154" s="39">
        <f>H154+I259+I260+I261+I262+I263</f>
        <v/>
      </c>
      <c r="J154" s="39">
        <f>I154+J259+J260+J261+J262+J263</f>
        <v/>
      </c>
      <c r="K154" s="39">
        <f>J154+K259+K260+K261+K262+K263</f>
        <v/>
      </c>
      <c r="L154" s="39">
        <f>K154+L259+L260+L261+L262+L263</f>
        <v/>
      </c>
      <c r="M154" s="39">
        <f>L154+M259+M260+M261+M262+M263</f>
        <v/>
      </c>
      <c r="N154" s="39">
        <f>M154+N259+N260+N261+N262+N263</f>
        <v/>
      </c>
      <c r="O154" s="39">
        <f>N154+O259+O260+O261+O262+O263</f>
        <v/>
      </c>
      <c r="P154" s="39">
        <f>O154+P259+P260+P261+P262+P263</f>
        <v/>
      </c>
      <c r="R154" s="44" t="n"/>
      <c r="S154" s="38" t="n">
        <v>13421</v>
      </c>
      <c r="T154" s="38" t="n">
        <v>21968</v>
      </c>
      <c r="U154" s="39">
        <f>K154</f>
        <v/>
      </c>
      <c r="V154" s="39">
        <f>O154</f>
        <v/>
      </c>
      <c r="W154" s="39">
        <f>V154+W259+W260+W261+W262+W263</f>
        <v/>
      </c>
      <c r="X154" s="39">
        <f>W154+X259+X260+X261+X262+X263</f>
        <v/>
      </c>
      <c r="Y154" s="39">
        <f>X154+Y259+Y260+Y261+Y262+Y263</f>
        <v/>
      </c>
    </row>
    <row r="155">
      <c r="D155" s="9" t="inlineStr">
        <is>
          <t>Other Liabilities</t>
        </is>
      </c>
      <c r="G155" s="44" t="n"/>
      <c r="H155" s="38" t="n">
        <v>1320</v>
      </c>
      <c r="I155" s="39">
        <f>I215*I13</f>
        <v/>
      </c>
      <c r="J155" s="39">
        <f>J215*J13</f>
        <v/>
      </c>
      <c r="K155" s="39">
        <f>K215*K13</f>
        <v/>
      </c>
      <c r="L155" s="39">
        <f>L215*L13</f>
        <v/>
      </c>
      <c r="M155" s="39">
        <f>M215*M13</f>
        <v/>
      </c>
      <c r="N155" s="39">
        <f>N215*N13</f>
        <v/>
      </c>
      <c r="O155" s="39">
        <f>O215*O13</f>
        <v/>
      </c>
      <c r="P155" s="39">
        <f>P215*P13</f>
        <v/>
      </c>
      <c r="R155" s="44" t="n"/>
      <c r="S155" s="38" t="n">
        <v>1365</v>
      </c>
      <c r="T155" s="38" t="n">
        <v>1381</v>
      </c>
      <c r="U155" s="39">
        <f>K155</f>
        <v/>
      </c>
      <c r="V155" s="39">
        <f>O155</f>
        <v/>
      </c>
      <c r="W155" s="39">
        <f>W215*W13</f>
        <v/>
      </c>
      <c r="X155" s="39">
        <f>X215*X13</f>
        <v/>
      </c>
      <c r="Y155" s="39">
        <f>Y215*Y13</f>
        <v/>
      </c>
    </row>
    <row r="156">
      <c r="A156" s="12" t="inlineStr">
        <is>
          <t>x</t>
        </is>
      </c>
      <c r="B156" s="13" t="inlineStr">
        <is>
          <t>Total Liabilities</t>
        </is>
      </c>
      <c r="G156" s="40">
        <f>G150+SUM(G153:G155)</f>
        <v/>
      </c>
      <c r="H156" s="40">
        <f>H150+SUM(H153:H155)</f>
        <v/>
      </c>
      <c r="I156" s="40">
        <f>I150+SUM(I153:I155)</f>
        <v/>
      </c>
      <c r="J156" s="40">
        <f>J150+SUM(J153:J155)</f>
        <v/>
      </c>
      <c r="K156" s="40">
        <f>K150+SUM(K153:K155)</f>
        <v/>
      </c>
      <c r="L156" s="40">
        <f>L150+SUM(L153:L155)</f>
        <v/>
      </c>
      <c r="M156" s="40">
        <f>M150+SUM(M153:M155)</f>
        <v/>
      </c>
      <c r="N156" s="40">
        <f>N150+SUM(N153:N155)</f>
        <v/>
      </c>
      <c r="O156" s="40">
        <f>O150+SUM(O153:O155)</f>
        <v/>
      </c>
      <c r="P156" s="40">
        <f>P150+SUM(P153:P155)</f>
        <v/>
      </c>
      <c r="R156" s="40">
        <f>R150+SUM(R153:R155)</f>
        <v/>
      </c>
      <c r="S156" s="40">
        <f>S150+SUM(S153:S155)</f>
        <v/>
      </c>
      <c r="T156" s="40">
        <f>T150+SUM(T153:T155)</f>
        <v/>
      </c>
      <c r="U156" s="40">
        <f>U150+SUM(U153:U155)</f>
        <v/>
      </c>
      <c r="V156" s="40">
        <f>V150+SUM(V153:V155)</f>
        <v/>
      </c>
      <c r="W156" s="40">
        <f>W150+SUM(W153:W155)</f>
        <v/>
      </c>
      <c r="X156" s="40">
        <f>X150+SUM(X153:X155)</f>
        <v/>
      </c>
      <c r="Y156" s="40">
        <f>Y150+SUM(Y153:Y155)</f>
        <v/>
      </c>
    </row>
    <row r="157">
      <c r="D157" s="8" t="inlineStr">
        <is>
          <t>Reconciliation: variance vs. as-reported</t>
        </is>
      </c>
      <c r="G157" s="41">
        <f>IF(_reported!G25="","",G156-_reported!G25)</f>
        <v/>
      </c>
      <c r="H157" s="41">
        <f>IF(_reported!H25="","",H156-_reported!H25)</f>
        <v/>
      </c>
      <c r="R157" s="41">
        <f>IF(_reported!R25="","",R156-_reported!R25)</f>
        <v/>
      </c>
      <c r="S157" s="41">
        <f>IF(_reported!S25="","",S156-_reported!S25)</f>
        <v/>
      </c>
      <c r="T157" s="41">
        <f>IF(_reported!T25="","",T156-_reported!T25)</f>
        <v/>
      </c>
    </row>
    <row r="158"/>
    <row r="159">
      <c r="D159" s="9" t="inlineStr">
        <is>
          <t>Redeemable Convertible Preferred Stock (mezzanine — converts at IPO)</t>
        </is>
      </c>
      <c r="G159" s="43" t="n"/>
      <c r="H159" s="35" t="n">
        <v>7049</v>
      </c>
      <c r="I159" s="36">
        <f>H159-I222</f>
        <v/>
      </c>
      <c r="J159" s="36">
        <f>I159-J222</f>
        <v/>
      </c>
      <c r="K159" s="36">
        <f>J159-K222</f>
        <v/>
      </c>
      <c r="L159" s="36">
        <f>K159-L222</f>
        <v/>
      </c>
      <c r="M159" s="36">
        <f>L159-M222</f>
        <v/>
      </c>
      <c r="N159" s="36">
        <f>M159-N222</f>
        <v/>
      </c>
      <c r="O159" s="36">
        <f>N159-O222</f>
        <v/>
      </c>
      <c r="P159" s="36">
        <f>O159-P222</f>
        <v/>
      </c>
      <c r="R159" s="43" t="n"/>
      <c r="S159" s="35" t="n">
        <v>20941</v>
      </c>
      <c r="T159" s="35" t="n">
        <v>38752</v>
      </c>
      <c r="U159" s="36">
        <f>K159</f>
        <v/>
      </c>
      <c r="V159" s="36">
        <f>O159</f>
        <v/>
      </c>
      <c r="W159" s="36">
        <f>V159-W222</f>
        <v/>
      </c>
      <c r="X159" s="36">
        <f>W159-X222</f>
        <v/>
      </c>
      <c r="Y159" s="36">
        <f>X159-Y222</f>
        <v/>
      </c>
    </row>
    <row r="160"/>
    <row r="161">
      <c r="D161" s="9" t="inlineStr">
        <is>
          <t>Class A Common Stock (par)</t>
        </is>
      </c>
      <c r="G161" s="43" t="n"/>
      <c r="H161" s="35" t="n">
        <v>3</v>
      </c>
      <c r="I161" s="36">
        <f>H161</f>
        <v/>
      </c>
      <c r="J161" s="36">
        <f>I161</f>
        <v/>
      </c>
      <c r="K161" s="36">
        <f>J161</f>
        <v/>
      </c>
      <c r="L161" s="36">
        <f>K161</f>
        <v/>
      </c>
      <c r="M161" s="36">
        <f>L161</f>
        <v/>
      </c>
      <c r="N161" s="36">
        <f>M161</f>
        <v/>
      </c>
      <c r="O161" s="36">
        <f>N161</f>
        <v/>
      </c>
      <c r="P161" s="36">
        <f>O161</f>
        <v/>
      </c>
      <c r="R161" s="43" t="n"/>
      <c r="S161" s="35" t="n">
        <v>2</v>
      </c>
      <c r="T161" s="35" t="n">
        <v>3</v>
      </c>
      <c r="U161" s="36">
        <f>K161</f>
        <v/>
      </c>
      <c r="V161" s="36">
        <f>O161</f>
        <v/>
      </c>
      <c r="W161" s="36">
        <f>V161</f>
        <v/>
      </c>
      <c r="X161" s="36">
        <f>W161</f>
        <v/>
      </c>
      <c r="Y161" s="36">
        <f>X161</f>
        <v/>
      </c>
    </row>
    <row r="162">
      <c r="D162" s="9" t="inlineStr">
        <is>
          <t>Class B Common Stock (par)</t>
        </is>
      </c>
      <c r="G162" s="44" t="n"/>
      <c r="H162" s="38" t="n">
        <v>3</v>
      </c>
      <c r="I162" s="39">
        <f>H162</f>
        <v/>
      </c>
      <c r="J162" s="39">
        <f>I162</f>
        <v/>
      </c>
      <c r="K162" s="39">
        <f>J162</f>
        <v/>
      </c>
      <c r="L162" s="39">
        <f>K162</f>
        <v/>
      </c>
      <c r="M162" s="39">
        <f>L162</f>
        <v/>
      </c>
      <c r="N162" s="39">
        <f>M162</f>
        <v/>
      </c>
      <c r="O162" s="39">
        <f>N162</f>
        <v/>
      </c>
      <c r="P162" s="39">
        <f>O162</f>
        <v/>
      </c>
      <c r="R162" s="44" t="n"/>
      <c r="S162" s="38" t="n">
        <v>1</v>
      </c>
      <c r="T162" s="38" t="n">
        <v>1</v>
      </c>
      <c r="U162" s="39">
        <f>K162</f>
        <v/>
      </c>
      <c r="V162" s="39">
        <f>O162</f>
        <v/>
      </c>
      <c r="W162" s="39">
        <f>V162</f>
        <v/>
      </c>
      <c r="X162" s="39">
        <f>W162</f>
        <v/>
      </c>
      <c r="Y162" s="39">
        <f>X162</f>
        <v/>
      </c>
    </row>
    <row r="163">
      <c r="D163" s="9" t="inlineStr">
        <is>
          <t>Class C Common Stock (par)</t>
        </is>
      </c>
      <c r="G163" s="44" t="n"/>
      <c r="H163" s="38" t="n">
        <v>0</v>
      </c>
      <c r="I163" s="39">
        <f>H163</f>
        <v/>
      </c>
      <c r="J163" s="39">
        <f>I163</f>
        <v/>
      </c>
      <c r="K163" s="39">
        <f>J163</f>
        <v/>
      </c>
      <c r="L163" s="39">
        <f>K163</f>
        <v/>
      </c>
      <c r="M163" s="39">
        <f>L163</f>
        <v/>
      </c>
      <c r="N163" s="39">
        <f>M163</f>
        <v/>
      </c>
      <c r="O163" s="39">
        <f>N163</f>
        <v/>
      </c>
      <c r="P163" s="39">
        <f>O163</f>
        <v/>
      </c>
      <c r="R163" s="44" t="n"/>
      <c r="S163" s="38" t="n">
        <v>0</v>
      </c>
      <c r="T163" s="38" t="n">
        <v>0</v>
      </c>
      <c r="U163" s="39">
        <f>K163</f>
        <v/>
      </c>
      <c r="V163" s="39">
        <f>O163</f>
        <v/>
      </c>
      <c r="W163" s="39">
        <f>V163</f>
        <v/>
      </c>
      <c r="X163" s="39">
        <f>W163</f>
        <v/>
      </c>
      <c r="Y163" s="39">
        <f>X163</f>
        <v/>
      </c>
    </row>
    <row r="164">
      <c r="D164" s="9" t="inlineStr">
        <is>
          <t>Class D Common Stock (par)</t>
        </is>
      </c>
      <c r="G164" s="44" t="n"/>
      <c r="H164" s="38" t="n">
        <v>0</v>
      </c>
      <c r="I164" s="39">
        <f>H164</f>
        <v/>
      </c>
      <c r="J164" s="39">
        <f>I164</f>
        <v/>
      </c>
      <c r="K164" s="39">
        <f>J164</f>
        <v/>
      </c>
      <c r="L164" s="39">
        <f>K164</f>
        <v/>
      </c>
      <c r="M164" s="39">
        <f>L164</f>
        <v/>
      </c>
      <c r="N164" s="39">
        <f>M164</f>
        <v/>
      </c>
      <c r="O164" s="39">
        <f>N164</f>
        <v/>
      </c>
      <c r="P164" s="39">
        <f>O164</f>
        <v/>
      </c>
      <c r="R164" s="44" t="n"/>
      <c r="S164" s="38" t="n">
        <v>0</v>
      </c>
      <c r="T164" s="38" t="n">
        <v>0</v>
      </c>
      <c r="U164" s="39">
        <f>K164</f>
        <v/>
      </c>
      <c r="V164" s="39">
        <f>O164</f>
        <v/>
      </c>
      <c r="W164" s="39">
        <f>V164</f>
        <v/>
      </c>
      <c r="X164" s="39">
        <f>W164</f>
        <v/>
      </c>
      <c r="Y164" s="39">
        <f>X164</f>
        <v/>
      </c>
    </row>
    <row r="165">
      <c r="D165" s="9" t="inlineStr">
        <is>
          <t>Additional Paid-in Capital</t>
        </is>
      </c>
      <c r="G165" s="44" t="n"/>
      <c r="H165" s="38" t="n">
        <v>74083</v>
      </c>
      <c r="I165" s="39">
        <f>H165+I229+I264+I265+I267+I222</f>
        <v/>
      </c>
      <c r="J165" s="39">
        <f>I165+J229+J264+J265+J267+J222</f>
        <v/>
      </c>
      <c r="K165" s="39">
        <f>J165+K229+K264+K265+K267+K222</f>
        <v/>
      </c>
      <c r="L165" s="39">
        <f>K165+L229+L264+L265+L267+L222</f>
        <v/>
      </c>
      <c r="M165" s="39">
        <f>L165+M229+M264+M265+M267+M222</f>
        <v/>
      </c>
      <c r="N165" s="39">
        <f>M165+N229+N264+N265+N267+N222</f>
        <v/>
      </c>
      <c r="O165" s="39">
        <f>N165+O229+O264+O265+O267+O222</f>
        <v/>
      </c>
      <c r="P165" s="39">
        <f>O165+P229+P264+P265+P267+P222</f>
        <v/>
      </c>
      <c r="R165" s="44" t="n"/>
      <c r="S165" s="38" t="n">
        <v>35865</v>
      </c>
      <c r="T165" s="38" t="n">
        <v>37706</v>
      </c>
      <c r="U165" s="39">
        <f>K165</f>
        <v/>
      </c>
      <c r="V165" s="39">
        <f>O165</f>
        <v/>
      </c>
      <c r="W165" s="39">
        <f>V165+W229+W264+W265+W267+W222</f>
        <v/>
      </c>
      <c r="X165" s="39">
        <f>W165+X229+X264+X265+X267+X222</f>
        <v/>
      </c>
      <c r="Y165" s="39">
        <f>X165+Y229+Y264+Y265+Y267+Y222</f>
        <v/>
      </c>
    </row>
    <row r="166">
      <c r="D166" s="9" t="inlineStr">
        <is>
          <t>Accumulated Deficit</t>
        </is>
      </c>
      <c r="G166" s="44" t="n"/>
      <c r="H166" s="38" t="n">
        <v>-41311</v>
      </c>
      <c r="I166" s="39">
        <f>H166+I39</f>
        <v/>
      </c>
      <c r="J166" s="39">
        <f>I166+J39</f>
        <v/>
      </c>
      <c r="K166" s="39">
        <f>J166+K39</f>
        <v/>
      </c>
      <c r="L166" s="39">
        <f>K166+L39</f>
        <v/>
      </c>
      <c r="M166" s="39">
        <f>L166+M39</f>
        <v/>
      </c>
      <c r="N166" s="39">
        <f>M166+N39</f>
        <v/>
      </c>
      <c r="O166" s="39">
        <f>N166+O39</f>
        <v/>
      </c>
      <c r="P166" s="39">
        <f>O166+P39</f>
        <v/>
      </c>
      <c r="R166" s="44" t="n"/>
      <c r="S166" s="38" t="n">
        <v>-32098</v>
      </c>
      <c r="T166" s="38" t="n">
        <v>-37035</v>
      </c>
      <c r="U166" s="39">
        <f>K166</f>
        <v/>
      </c>
      <c r="V166" s="39">
        <f>O166</f>
        <v/>
      </c>
      <c r="W166" s="39">
        <f>V166+W39</f>
        <v/>
      </c>
      <c r="X166" s="39">
        <f>W166+X39</f>
        <v/>
      </c>
      <c r="Y166" s="39">
        <f>X166+Y39</f>
        <v/>
      </c>
    </row>
    <row r="167">
      <c r="D167" s="9" t="inlineStr">
        <is>
          <t>Accumulated Other Comprehensive Income</t>
        </is>
      </c>
      <c r="G167" s="44" t="n"/>
      <c r="H167" s="38" t="n">
        <v>1755</v>
      </c>
      <c r="I167" s="39">
        <f>H167</f>
        <v/>
      </c>
      <c r="J167" s="39">
        <f>I167</f>
        <v/>
      </c>
      <c r="K167" s="39">
        <f>J167</f>
        <v/>
      </c>
      <c r="L167" s="39">
        <f>K167</f>
        <v/>
      </c>
      <c r="M167" s="39">
        <f>L167</f>
        <v/>
      </c>
      <c r="N167" s="39">
        <f>M167</f>
        <v/>
      </c>
      <c r="O167" s="39">
        <f>N167</f>
        <v/>
      </c>
      <c r="P167" s="39">
        <f>O167</f>
        <v/>
      </c>
      <c r="R167" s="44" t="n"/>
      <c r="S167" s="38" t="n">
        <v>1093</v>
      </c>
      <c r="T167" s="38" t="n">
        <v>1898</v>
      </c>
      <c r="U167" s="39">
        <f>K167</f>
        <v/>
      </c>
      <c r="V167" s="39">
        <f>O167</f>
        <v/>
      </c>
      <c r="W167" s="39">
        <f>V167</f>
        <v/>
      </c>
      <c r="X167" s="39">
        <f>W167</f>
        <v/>
      </c>
      <c r="Y167" s="39">
        <f>X167</f>
        <v/>
      </c>
    </row>
    <row r="168">
      <c r="A168" s="12" t="inlineStr">
        <is>
          <t>x</t>
        </is>
      </c>
      <c r="C168" s="13" t="inlineStr">
        <is>
          <t>Total Shareholders' Equity</t>
        </is>
      </c>
      <c r="G168" s="40">
        <f>SUM(G161:G167)</f>
        <v/>
      </c>
      <c r="H168" s="40">
        <f>SUM(H161:H167)</f>
        <v/>
      </c>
      <c r="I168" s="40">
        <f>SUM(I161:I167)</f>
        <v/>
      </c>
      <c r="J168" s="40">
        <f>SUM(J161:J167)</f>
        <v/>
      </c>
      <c r="K168" s="40">
        <f>SUM(K161:K167)</f>
        <v/>
      </c>
      <c r="L168" s="40">
        <f>SUM(L161:L167)</f>
        <v/>
      </c>
      <c r="M168" s="40">
        <f>SUM(M161:M167)</f>
        <v/>
      </c>
      <c r="N168" s="40">
        <f>SUM(N161:N167)</f>
        <v/>
      </c>
      <c r="O168" s="40">
        <f>SUM(O161:O167)</f>
        <v/>
      </c>
      <c r="P168" s="40">
        <f>SUM(P161:P167)</f>
        <v/>
      </c>
      <c r="R168" s="40">
        <f>SUM(R161:R167)</f>
        <v/>
      </c>
      <c r="S168" s="40">
        <f>SUM(S161:S167)</f>
        <v/>
      </c>
      <c r="T168" s="40">
        <f>SUM(T161:T167)</f>
        <v/>
      </c>
      <c r="U168" s="40">
        <f>SUM(U161:U167)</f>
        <v/>
      </c>
      <c r="V168" s="40">
        <f>SUM(V161:V167)</f>
        <v/>
      </c>
      <c r="W168" s="40">
        <f>SUM(W161:W167)</f>
        <v/>
      </c>
      <c r="X168" s="40">
        <f>SUM(X161:X167)</f>
        <v/>
      </c>
      <c r="Y168" s="40">
        <f>SUM(Y161:Y167)</f>
        <v/>
      </c>
    </row>
    <row r="169">
      <c r="D169" s="8" t="inlineStr">
        <is>
          <t>Reconciliation: variance vs. as-reported</t>
        </is>
      </c>
      <c r="G169" s="41">
        <f>IF(_reported!G26="","",G168-_reported!G26)</f>
        <v/>
      </c>
      <c r="H169" s="41">
        <f>IF(_reported!H26="","",H168-_reported!H26)</f>
        <v/>
      </c>
      <c r="R169" s="41">
        <f>IF(_reported!R26="","",R168-_reported!R26)</f>
        <v/>
      </c>
      <c r="S169" s="41">
        <f>IF(_reported!S26="","",S168-_reported!S26)</f>
        <v/>
      </c>
      <c r="T169" s="41">
        <f>IF(_reported!T26="","",T168-_reported!T26)</f>
        <v/>
      </c>
    </row>
    <row r="170"/>
    <row r="171">
      <c r="A171" s="12" t="inlineStr">
        <is>
          <t>x</t>
        </is>
      </c>
      <c r="B171" s="13" t="inlineStr">
        <is>
          <t>Total Liabilities + Mezzanine + Equity</t>
        </is>
      </c>
      <c r="G171" s="40">
        <f>G156+G159+G168</f>
        <v/>
      </c>
      <c r="H171" s="40">
        <f>H156+H159+H168</f>
        <v/>
      </c>
      <c r="I171" s="40">
        <f>I156+I159+I168</f>
        <v/>
      </c>
      <c r="J171" s="40">
        <f>J156+J159+J168</f>
        <v/>
      </c>
      <c r="K171" s="40">
        <f>K156+K159+K168</f>
        <v/>
      </c>
      <c r="L171" s="40">
        <f>L156+L159+L168</f>
        <v/>
      </c>
      <c r="M171" s="40">
        <f>M156+M159+M168</f>
        <v/>
      </c>
      <c r="N171" s="40">
        <f>N156+N159+N168</f>
        <v/>
      </c>
      <c r="O171" s="40">
        <f>O156+O159+O168</f>
        <v/>
      </c>
      <c r="P171" s="40">
        <f>P156+P159+P168</f>
        <v/>
      </c>
      <c r="R171" s="40">
        <f>R156+R159+R168</f>
        <v/>
      </c>
      <c r="S171" s="40">
        <f>S156+S159+S168</f>
        <v/>
      </c>
      <c r="T171" s="40">
        <f>T156+T159+T168</f>
        <v/>
      </c>
      <c r="U171" s="40">
        <f>U156+U159+U168</f>
        <v/>
      </c>
      <c r="V171" s="40">
        <f>V156+V159+V168</f>
        <v/>
      </c>
      <c r="W171" s="40">
        <f>W156+W159+W168</f>
        <v/>
      </c>
      <c r="X171" s="40">
        <f>X156+X159+X168</f>
        <v/>
      </c>
      <c r="Y171" s="40">
        <f>Y156+Y159+Y168</f>
        <v/>
      </c>
    </row>
    <row r="172">
      <c r="D172" s="8" t="inlineStr">
        <is>
          <t>Reconciliation: variance vs. as-reported</t>
        </is>
      </c>
      <c r="G172" s="41">
        <f>IF(_reported!G27="","",G171-_reported!G27)</f>
        <v/>
      </c>
      <c r="H172" s="41">
        <f>IF(_reported!H27="","",H171-_reported!H27)</f>
        <v/>
      </c>
      <c r="R172" s="41">
        <f>IF(_reported!R27="","",R171-_reported!R27)</f>
        <v/>
      </c>
      <c r="S172" s="41">
        <f>IF(_reported!S27="","",S171-_reported!S27)</f>
        <v/>
      </c>
      <c r="T172" s="41">
        <f>IF(_reported!T27="","",T171-_reported!T27)</f>
        <v/>
      </c>
    </row>
    <row r="173"/>
    <row r="174">
      <c r="D174" s="8" t="inlineStr">
        <is>
          <t>Parity Check (Total Assets − Total L&amp;E) — must be $0</t>
        </is>
      </c>
      <c r="G174" s="45">
        <f>G143-G171</f>
        <v/>
      </c>
      <c r="H174" s="45">
        <f>H143-H171</f>
        <v/>
      </c>
      <c r="I174" s="45">
        <f>I143-I171</f>
        <v/>
      </c>
      <c r="J174" s="45">
        <f>J143-J171</f>
        <v/>
      </c>
      <c r="K174" s="45">
        <f>K143-K171</f>
        <v/>
      </c>
      <c r="L174" s="45">
        <f>L143-L171</f>
        <v/>
      </c>
      <c r="M174" s="45">
        <f>M143-M171</f>
        <v/>
      </c>
      <c r="N174" s="45">
        <f>N143-N171</f>
        <v/>
      </c>
      <c r="O174" s="45">
        <f>O143-O171</f>
        <v/>
      </c>
      <c r="P174" s="45">
        <f>P143-P171</f>
        <v/>
      </c>
      <c r="R174" s="45">
        <f>R143-R171</f>
        <v/>
      </c>
      <c r="S174" s="45">
        <f>S143-S171</f>
        <v/>
      </c>
      <c r="T174" s="45">
        <f>T143-T171</f>
        <v/>
      </c>
      <c r="U174" s="45">
        <f>U143-U171</f>
        <v/>
      </c>
      <c r="V174" s="45">
        <f>V143-V171</f>
        <v/>
      </c>
      <c r="W174" s="45">
        <f>W143-W171</f>
        <v/>
      </c>
      <c r="X174" s="45">
        <f>X143-X171</f>
        <v/>
      </c>
      <c r="Y174" s="45">
        <f>Y143-Y171</f>
        <v/>
      </c>
    </row>
    <row r="175"/>
    <row r="176"/>
    <row r="177">
      <c r="B177" s="19" t="inlineStr">
        <is>
          <t>Balance Sheet Ratios &amp; Assumptions</t>
        </is>
      </c>
      <c r="C177" s="19" t="n"/>
      <c r="D177" s="19" t="n"/>
      <c r="E177" s="19" t="n"/>
      <c r="F177" s="19" t="n"/>
      <c r="G177" s="19" t="n"/>
      <c r="H177" s="19" t="n"/>
      <c r="I177" s="19" t="n"/>
      <c r="J177" s="19" t="n"/>
      <c r="K177" s="19" t="n"/>
      <c r="L177" s="19" t="n"/>
      <c r="M177" s="19" t="n"/>
      <c r="N177" s="19" t="n"/>
      <c r="O177" s="19" t="n"/>
      <c r="P177" s="19" t="n"/>
      <c r="R177" s="19" t="n"/>
      <c r="S177" s="19" t="n"/>
      <c r="T177" s="19" t="n"/>
      <c r="U177" s="19" t="n"/>
      <c r="V177" s="19" t="n"/>
      <c r="W177" s="19" t="n"/>
      <c r="X177" s="19" t="n"/>
      <c r="Y177" s="19" t="n"/>
    </row>
    <row r="178"/>
    <row r="179">
      <c r="D179" s="9" t="inlineStr">
        <is>
          <t>Days in Period</t>
        </is>
      </c>
      <c r="G179" s="23">
        <f>G6-DATE(YEAR(G6)-1,12,31)</f>
        <v/>
      </c>
      <c r="H179" s="23">
        <f>H6-DATE(YEAR(H6)-1,12,31)</f>
        <v/>
      </c>
      <c r="I179" s="23">
        <f>I6-H6</f>
        <v/>
      </c>
      <c r="J179" s="23">
        <f>J6-I6</f>
        <v/>
      </c>
      <c r="K179" s="23">
        <f>K6-J6</f>
        <v/>
      </c>
      <c r="L179" s="23">
        <f>L6-K6</f>
        <v/>
      </c>
      <c r="M179" s="23">
        <f>M6-L6</f>
        <v/>
      </c>
      <c r="N179" s="23">
        <f>N6-M6</f>
        <v/>
      </c>
      <c r="O179" s="23">
        <f>O6-N6</f>
        <v/>
      </c>
      <c r="P179" s="23">
        <f>P6-O6</f>
        <v/>
      </c>
      <c r="R179" s="23">
        <f>R6-DATE(YEAR(R6)-1,12,31)</f>
        <v/>
      </c>
      <c r="S179" s="23">
        <f>S6-R6</f>
        <v/>
      </c>
      <c r="T179" s="23">
        <f>T6-S6</f>
        <v/>
      </c>
      <c r="U179" s="23">
        <f>U6-T6</f>
        <v/>
      </c>
      <c r="V179" s="23">
        <f>V6-U6</f>
        <v/>
      </c>
      <c r="W179" s="23">
        <f>W6-V6</f>
        <v/>
      </c>
      <c r="X179" s="23">
        <f>X6-W6</f>
        <v/>
      </c>
      <c r="Y179" s="23">
        <f>Y6-X6</f>
        <v/>
      </c>
    </row>
    <row r="180"/>
    <row r="181">
      <c r="D181" s="9" t="inlineStr">
        <is>
          <t>Current Ratio</t>
        </is>
      </c>
      <c r="G181" s="46">
        <f>IFERROR(G133/G150,"")</f>
        <v/>
      </c>
      <c r="H181" s="46">
        <f>IFERROR(H133/H150,"")</f>
        <v/>
      </c>
      <c r="I181" s="46">
        <f>IFERROR(I133/I150,"")</f>
        <v/>
      </c>
      <c r="J181" s="46">
        <f>IFERROR(J133/J150,"")</f>
        <v/>
      </c>
      <c r="K181" s="46">
        <f>IFERROR(K133/K150,"")</f>
        <v/>
      </c>
      <c r="L181" s="46">
        <f>IFERROR(L133/L150,"")</f>
        <v/>
      </c>
      <c r="M181" s="46">
        <f>IFERROR(M133/M150,"")</f>
        <v/>
      </c>
      <c r="N181" s="46">
        <f>IFERROR(N133/N150,"")</f>
        <v/>
      </c>
      <c r="O181" s="46">
        <f>IFERROR(O133/O150,"")</f>
        <v/>
      </c>
      <c r="P181" s="46">
        <f>IFERROR(P133/P150,"")</f>
        <v/>
      </c>
      <c r="R181" s="46">
        <f>IFERROR(R133/R150,"")</f>
        <v/>
      </c>
      <c r="S181" s="46">
        <f>IFERROR(S133/S150,"")</f>
        <v/>
      </c>
      <c r="T181" s="46">
        <f>IFERROR(T133/T150,"")</f>
        <v/>
      </c>
      <c r="U181" s="46">
        <f>IFERROR(U133/U150,"")</f>
        <v/>
      </c>
      <c r="V181" s="46">
        <f>IFERROR(V133/V150,"")</f>
        <v/>
      </c>
      <c r="W181" s="46">
        <f>IFERROR(W133/W150,"")</f>
        <v/>
      </c>
      <c r="X181" s="46">
        <f>IFERROR(X133/X150,"")</f>
        <v/>
      </c>
      <c r="Y181" s="46">
        <f>IFERROR(Y133/Y150,"")</f>
        <v/>
      </c>
    </row>
    <row r="182">
      <c r="D182" s="9" t="inlineStr">
        <is>
          <t>Quick Ratio (Cash + Mkt Sec + AR)</t>
        </is>
      </c>
      <c r="G182" s="46">
        <f>IFERROR((G128+G129+G130)/G150,"")</f>
        <v/>
      </c>
      <c r="H182" s="46">
        <f>IFERROR((H128+H129+H130)/H150,"")</f>
        <v/>
      </c>
      <c r="I182" s="46">
        <f>IFERROR((I128+I129+I130)/I150,"")</f>
        <v/>
      </c>
      <c r="J182" s="46">
        <f>IFERROR((J128+J129+J130)/J150,"")</f>
        <v/>
      </c>
      <c r="K182" s="46">
        <f>IFERROR((K128+K129+K130)/K150,"")</f>
        <v/>
      </c>
      <c r="L182" s="46">
        <f>IFERROR((L128+L129+L130)/L150,"")</f>
        <v/>
      </c>
      <c r="M182" s="46">
        <f>IFERROR((M128+M129+M130)/M150,"")</f>
        <v/>
      </c>
      <c r="N182" s="46">
        <f>IFERROR((N128+N129+N130)/N150,"")</f>
        <v/>
      </c>
      <c r="O182" s="46">
        <f>IFERROR((O128+O129+O130)/O150,"")</f>
        <v/>
      </c>
      <c r="P182" s="46">
        <f>IFERROR((P128+P129+P130)/P150,"")</f>
        <v/>
      </c>
      <c r="R182" s="46">
        <f>IFERROR((R128+R129+R130)/R150,"")</f>
        <v/>
      </c>
      <c r="S182" s="46">
        <f>IFERROR((S128+S129+S130)/S150,"")</f>
        <v/>
      </c>
      <c r="T182" s="46">
        <f>IFERROR((T128+T129+T130)/T150,"")</f>
        <v/>
      </c>
      <c r="U182" s="46">
        <f>IFERROR((U128+U129+U130)/U150,"")</f>
        <v/>
      </c>
      <c r="V182" s="46">
        <f>IFERROR((V128+V129+V130)/V150,"")</f>
        <v/>
      </c>
      <c r="W182" s="46">
        <f>IFERROR((W128+W129+W130)/W150,"")</f>
        <v/>
      </c>
      <c r="X182" s="46">
        <f>IFERROR((X128+X129+X130)/X150,"")</f>
        <v/>
      </c>
      <c r="Y182" s="46">
        <f>IFERROR((Y128+Y129+Y130)/Y150,"")</f>
        <v/>
      </c>
    </row>
    <row r="183">
      <c r="D183" s="9" t="inlineStr">
        <is>
          <t>Net Working Capital (TCA − Cash − TCL + Curr Debt)</t>
        </is>
      </c>
      <c r="G183" s="36">
        <f>IF(G128="","",G133-G128-G150+G148)</f>
        <v/>
      </c>
      <c r="H183" s="36">
        <f>IF(H128="","",H133-H128-H150+H148)</f>
        <v/>
      </c>
      <c r="I183" s="36">
        <f>IF(I128="","",I133-I128-I150+I148)</f>
        <v/>
      </c>
      <c r="J183" s="36">
        <f>IF(J128="","",J133-J128-J150+J148)</f>
        <v/>
      </c>
      <c r="K183" s="36">
        <f>IF(K128="","",K133-K128-K150+K148)</f>
        <v/>
      </c>
      <c r="L183" s="36">
        <f>IF(L128="","",L133-L128-L150+L148)</f>
        <v/>
      </c>
      <c r="M183" s="36">
        <f>IF(M128="","",M133-M128-M150+M148)</f>
        <v/>
      </c>
      <c r="N183" s="36">
        <f>IF(N128="","",N133-N128-N150+N148)</f>
        <v/>
      </c>
      <c r="O183" s="36">
        <f>IF(O128="","",O133-O128-O150+O148)</f>
        <v/>
      </c>
      <c r="P183" s="36">
        <f>IF(P128="","",P133-P128-P150+P148)</f>
        <v/>
      </c>
      <c r="R183" s="36">
        <f>IF(R128="","",R133-R128-R150+R148)</f>
        <v/>
      </c>
      <c r="S183" s="36">
        <f>IF(S128="","",S133-S128-S150+S148)</f>
        <v/>
      </c>
      <c r="T183" s="36">
        <f>IF(T128="","",T133-T128-T150+T148)</f>
        <v/>
      </c>
      <c r="U183" s="36">
        <f>IF(U128="","",U133-U128-U150+U148)</f>
        <v/>
      </c>
      <c r="V183" s="36">
        <f>IF(V128="","",V133-V128-V150+V148)</f>
        <v/>
      </c>
      <c r="W183" s="36">
        <f>IF(W128="","",W133-W128-W150+W148)</f>
        <v/>
      </c>
      <c r="X183" s="36">
        <f>IF(X128="","",X133-X128-X150+X148)</f>
        <v/>
      </c>
      <c r="Y183" s="36">
        <f>IF(Y128="","",Y133-Y128-Y150+Y148)</f>
        <v/>
      </c>
    </row>
    <row r="184"/>
    <row r="185">
      <c r="D185" s="9" t="inlineStr">
        <is>
          <t>DSO (AR / Revenue × Days) [DRIVER]</t>
        </is>
      </c>
      <c r="G185" s="23">
        <f>IFERROR(G130/G13*G179,"")</f>
        <v/>
      </c>
      <c r="H185" s="23">
        <f>IFERROR(H130/H13*H179,"")</f>
        <v/>
      </c>
      <c r="I185" s="23">
        <f>IFERROR(I130/I13*I179,"")</f>
        <v/>
      </c>
      <c r="J185" s="23">
        <f>IFERROR(J130/J13*J179,"")</f>
        <v/>
      </c>
      <c r="K185" s="23">
        <f>IFERROR(K130/K13*K179,"")</f>
        <v/>
      </c>
      <c r="L185" s="23">
        <f>IFERROR(L130/L13*L179,"")</f>
        <v/>
      </c>
      <c r="M185" s="23">
        <f>IFERROR(M130/M13*M179,"")</f>
        <v/>
      </c>
      <c r="N185" s="23">
        <f>IFERROR(N130/N13*N179,"")</f>
        <v/>
      </c>
      <c r="O185" s="23">
        <f>IFERROR(O130/O13*O179,"")</f>
        <v/>
      </c>
      <c r="P185" s="23">
        <f>IFERROR(P130/P13*P179,"")</f>
        <v/>
      </c>
      <c r="R185" s="23">
        <f>IFERROR(R130/R13*R179,"")</f>
        <v/>
      </c>
      <c r="S185" s="23">
        <f>IFERROR(S130/S13*S179,"")</f>
        <v/>
      </c>
      <c r="T185" s="23">
        <f>IFERROR(T130/T13*T179,"")</f>
        <v/>
      </c>
      <c r="U185" s="23">
        <f>IFERROR(U130/U13*U179,"")</f>
        <v/>
      </c>
      <c r="V185" s="23">
        <f>IFERROR(V130/V13*V179,"")</f>
        <v/>
      </c>
      <c r="W185" s="23">
        <f>IFERROR(W130/W13*W179,"")</f>
        <v/>
      </c>
      <c r="X185" s="23">
        <f>IFERROR(X130/X13*X179,"")</f>
        <v/>
      </c>
      <c r="Y185" s="23">
        <f>IFERROR(Y130/Y13*Y179,"")</f>
        <v/>
      </c>
    </row>
    <row r="186">
      <c r="D186" s="9" t="inlineStr">
        <is>
          <t>DIO (Inventory / COGS × Days) [DRIVER]</t>
        </is>
      </c>
      <c r="G186" s="23">
        <f>IFERROR(-G131/G16*G179,"")</f>
        <v/>
      </c>
      <c r="H186" s="23">
        <f>IFERROR(-H131/H16*H179,"")</f>
        <v/>
      </c>
      <c r="I186" s="23">
        <f>IFERROR(-I131/I16*I179,"")</f>
        <v/>
      </c>
      <c r="J186" s="23">
        <f>IFERROR(-J131/J16*J179,"")</f>
        <v/>
      </c>
      <c r="K186" s="23">
        <f>IFERROR(-K131/K16*K179,"")</f>
        <v/>
      </c>
      <c r="L186" s="23">
        <f>IFERROR(-L131/L16*L179,"")</f>
        <v/>
      </c>
      <c r="M186" s="23">
        <f>IFERROR(-M131/M16*M179,"")</f>
        <v/>
      </c>
      <c r="N186" s="23">
        <f>IFERROR(-N131/N16*N179,"")</f>
        <v/>
      </c>
      <c r="O186" s="23">
        <f>IFERROR(-O131/O16*O179,"")</f>
        <v/>
      </c>
      <c r="P186" s="23">
        <f>IFERROR(-P131/P16*P179,"")</f>
        <v/>
      </c>
      <c r="R186" s="23">
        <f>IFERROR(-R131/R16*R179,"")</f>
        <v/>
      </c>
      <c r="S186" s="23">
        <f>IFERROR(-S131/S16*S179,"")</f>
        <v/>
      </c>
      <c r="T186" s="23">
        <f>IFERROR(-T131/T16*T179,"")</f>
        <v/>
      </c>
      <c r="U186" s="23">
        <f>IFERROR(-U131/U16*U179,"")</f>
        <v/>
      </c>
      <c r="V186" s="23">
        <f>IFERROR(-V131/V16*V179,"")</f>
        <v/>
      </c>
      <c r="W186" s="23">
        <f>IFERROR(-W131/W16*W179,"")</f>
        <v/>
      </c>
      <c r="X186" s="23">
        <f>IFERROR(-X131/X16*X179,"")</f>
        <v/>
      </c>
      <c r="Y186" s="23">
        <f>IFERROR(-Y131/Y16*Y179,"")</f>
        <v/>
      </c>
    </row>
    <row r="187">
      <c r="D187" s="9" t="inlineStr">
        <is>
          <t>DPO (AP / COGS × Days) [DRIVER]</t>
        </is>
      </c>
      <c r="G187" s="23">
        <f>IFERROR(-G146/G16*G179,"")</f>
        <v/>
      </c>
      <c r="H187" s="23">
        <f>IFERROR(-H146/H16*H179,"")</f>
        <v/>
      </c>
      <c r="I187" s="23">
        <f>IFERROR(-I146/I16*I179,"")</f>
        <v/>
      </c>
      <c r="J187" s="23">
        <f>IFERROR(-J146/J16*J179,"")</f>
        <v/>
      </c>
      <c r="K187" s="23">
        <f>IFERROR(-K146/K16*K179,"")</f>
        <v/>
      </c>
      <c r="L187" s="23">
        <f>IFERROR(-L146/L16*L179,"")</f>
        <v/>
      </c>
      <c r="M187" s="23">
        <f>IFERROR(-M146/M16*M179,"")</f>
        <v/>
      </c>
      <c r="N187" s="23">
        <f>IFERROR(-N146/N16*N179,"")</f>
        <v/>
      </c>
      <c r="O187" s="23">
        <f>IFERROR(-O146/O16*O179,"")</f>
        <v/>
      </c>
      <c r="P187" s="23">
        <f>IFERROR(-P146/P16*P179,"")</f>
        <v/>
      </c>
      <c r="R187" s="23">
        <f>IFERROR(-R146/R16*R179,"")</f>
        <v/>
      </c>
      <c r="S187" s="23">
        <f>IFERROR(-S146/S16*S179,"")</f>
        <v/>
      </c>
      <c r="T187" s="23">
        <f>IFERROR(-T146/T16*T179,"")</f>
        <v/>
      </c>
      <c r="U187" s="23">
        <f>IFERROR(-U146/U16*U179,"")</f>
        <v/>
      </c>
      <c r="V187" s="23">
        <f>IFERROR(-V146/V16*V179,"")</f>
        <v/>
      </c>
      <c r="W187" s="23">
        <f>IFERROR(-W146/W16*W179,"")</f>
        <v/>
      </c>
      <c r="X187" s="23">
        <f>IFERROR(-X146/X16*X179,"")</f>
        <v/>
      </c>
      <c r="Y187" s="23">
        <f>IFERROR(-Y146/Y16*Y179,"")</f>
        <v/>
      </c>
    </row>
    <row r="188">
      <c r="D188" s="9" t="inlineStr">
        <is>
          <t>Deferred Revenue Days, Current [DRIVER]</t>
        </is>
      </c>
      <c r="G188" s="23">
        <f>IFERROR(G147/G13*G179,"")</f>
        <v/>
      </c>
      <c r="H188" s="23">
        <f>IFERROR(H147/H13*H179,"")</f>
        <v/>
      </c>
      <c r="I188" s="23">
        <f>IFERROR(I147/I13*I179,"")</f>
        <v/>
      </c>
      <c r="J188" s="23">
        <f>IFERROR(J147/J13*J179,"")</f>
        <v/>
      </c>
      <c r="K188" s="23">
        <f>IFERROR(K147/K13*K179,"")</f>
        <v/>
      </c>
      <c r="L188" s="23">
        <f>IFERROR(L147/L13*L179,"")</f>
        <v/>
      </c>
      <c r="M188" s="23">
        <f>IFERROR(M147/M13*M179,"")</f>
        <v/>
      </c>
      <c r="N188" s="23">
        <f>IFERROR(N147/N13*N179,"")</f>
        <v/>
      </c>
      <c r="O188" s="23">
        <f>IFERROR(O147/O13*O179,"")</f>
        <v/>
      </c>
      <c r="P188" s="23">
        <f>IFERROR(P147/P13*P179,"")</f>
        <v/>
      </c>
      <c r="R188" s="23">
        <f>IFERROR(R147/R13*R179,"")</f>
        <v/>
      </c>
      <c r="S188" s="23">
        <f>IFERROR(S147/S13*S179,"")</f>
        <v/>
      </c>
      <c r="T188" s="23">
        <f>IFERROR(T147/T13*T179,"")</f>
        <v/>
      </c>
      <c r="U188" s="23">
        <f>IFERROR(U147/U13*U179,"")</f>
        <v/>
      </c>
      <c r="V188" s="23">
        <f>IFERROR(V147/V13*V179,"")</f>
        <v/>
      </c>
      <c r="W188" s="23">
        <f>IFERROR(W147/W13*W179,"")</f>
        <v/>
      </c>
      <c r="X188" s="23">
        <f>IFERROR(X147/X13*X179,"")</f>
        <v/>
      </c>
      <c r="Y188" s="23">
        <f>IFERROR(Y147/Y13*Y179,"")</f>
        <v/>
      </c>
    </row>
    <row r="189">
      <c r="D189" s="9" t="inlineStr">
        <is>
          <t>Prepaid &amp; Other CA (% of Revenue) [DRIVER]</t>
        </is>
      </c>
      <c r="G189" s="37">
        <f>IFERROR(G132/G13,"")</f>
        <v/>
      </c>
      <c r="H189" s="37">
        <f>IFERROR(H132/H13,"")</f>
        <v/>
      </c>
      <c r="I189" s="37">
        <f>IFERROR(I132/I13,"")</f>
        <v/>
      </c>
      <c r="J189" s="37">
        <f>IFERROR(J132/J13,"")</f>
        <v/>
      </c>
      <c r="K189" s="37">
        <f>IFERROR(K132/K13,"")</f>
        <v/>
      </c>
      <c r="L189" s="37">
        <f>IFERROR(L132/L13,"")</f>
        <v/>
      </c>
      <c r="M189" s="37">
        <f>IFERROR(M132/M13,"")</f>
        <v/>
      </c>
      <c r="N189" s="37">
        <f>IFERROR(N132/N13,"")</f>
        <v/>
      </c>
      <c r="O189" s="37">
        <f>IFERROR(O132/O13,"")</f>
        <v/>
      </c>
      <c r="P189" s="37">
        <f>IFERROR(P132/P13,"")</f>
        <v/>
      </c>
      <c r="R189" s="37">
        <f>IFERROR(R132/R13,"")</f>
        <v/>
      </c>
      <c r="S189" s="37">
        <f>IFERROR(S132/S13,"")</f>
        <v/>
      </c>
      <c r="T189" s="37">
        <f>IFERROR(T132/T13,"")</f>
        <v/>
      </c>
      <c r="U189" s="37">
        <f>IFERROR(U132/U13,"")</f>
        <v/>
      </c>
      <c r="V189" s="37">
        <f>IFERROR(V132/V13,"")</f>
        <v/>
      </c>
      <c r="W189" s="37">
        <f>IFERROR(W132/W13,"")</f>
        <v/>
      </c>
      <c r="X189" s="37">
        <f>IFERROR(X132/X13,"")</f>
        <v/>
      </c>
      <c r="Y189" s="37">
        <f>IFERROR(Y132/Y13,"")</f>
        <v/>
      </c>
    </row>
    <row r="190">
      <c r="D190" s="9" t="inlineStr">
        <is>
          <t>Accrued &amp; Other CL (% of Revenue) [DRIVER]</t>
        </is>
      </c>
      <c r="G190" s="37">
        <f>IFERROR(G149/G13,"")</f>
        <v/>
      </c>
      <c r="H190" s="37">
        <f>IFERROR(H149/H13,"")</f>
        <v/>
      </c>
      <c r="I190" s="37">
        <f>IFERROR(I149/I13,"")</f>
        <v/>
      </c>
      <c r="J190" s="37">
        <f>IFERROR(J149/J13,"")</f>
        <v/>
      </c>
      <c r="K190" s="37">
        <f>IFERROR(K149/K13,"")</f>
        <v/>
      </c>
      <c r="L190" s="37">
        <f>IFERROR(L149/L13,"")</f>
        <v/>
      </c>
      <c r="M190" s="37">
        <f>IFERROR(M149/M13,"")</f>
        <v/>
      </c>
      <c r="N190" s="37">
        <f>IFERROR(N149/N13,"")</f>
        <v/>
      </c>
      <c r="O190" s="37">
        <f>IFERROR(O149/O13,"")</f>
        <v/>
      </c>
      <c r="P190" s="37">
        <f>IFERROR(P149/P13,"")</f>
        <v/>
      </c>
      <c r="R190" s="37">
        <f>IFERROR(R149/R13,"")</f>
        <v/>
      </c>
      <c r="S190" s="37">
        <f>IFERROR(S149/S13,"")</f>
        <v/>
      </c>
      <c r="T190" s="37">
        <f>IFERROR(T149/T13,"")</f>
        <v/>
      </c>
      <c r="U190" s="37">
        <f>IFERROR(U149/U13,"")</f>
        <v/>
      </c>
      <c r="V190" s="37">
        <f>IFERROR(V149/V13,"")</f>
        <v/>
      </c>
      <c r="W190" s="37">
        <f>IFERROR(W149/W13,"")</f>
        <v/>
      </c>
      <c r="X190" s="37">
        <f>IFERROR(X149/X13,"")</f>
        <v/>
      </c>
      <c r="Y190" s="37">
        <f>IFERROR(Y149/Y13,"")</f>
        <v/>
      </c>
    </row>
    <row r="191">
      <c r="D191" s="9" t="inlineStr">
        <is>
          <t>Deferred Revenue NC (% of Revenue) [DRIVER]</t>
        </is>
      </c>
      <c r="G191" s="37">
        <f>IFERROR(G153/G13,"")</f>
        <v/>
      </c>
      <c r="H191" s="37">
        <f>IFERROR(H153/H13,"")</f>
        <v/>
      </c>
      <c r="I191" s="37">
        <f>IFERROR(I153/I13,"")</f>
        <v/>
      </c>
      <c r="J191" s="37">
        <f>IFERROR(J153/J13,"")</f>
        <v/>
      </c>
      <c r="K191" s="37">
        <f>IFERROR(K153/K13,"")</f>
        <v/>
      </c>
      <c r="L191" s="37">
        <f>IFERROR(L153/L13,"")</f>
        <v/>
      </c>
      <c r="M191" s="37">
        <f>IFERROR(M153/M13,"")</f>
        <v/>
      </c>
      <c r="N191" s="37">
        <f>IFERROR(N153/N13,"")</f>
        <v/>
      </c>
      <c r="O191" s="37">
        <f>IFERROR(O153/O13,"")</f>
        <v/>
      </c>
      <c r="P191" s="37">
        <f>IFERROR(P153/P13,"")</f>
        <v/>
      </c>
      <c r="R191" s="37">
        <f>IFERROR(R153/R13,"")</f>
        <v/>
      </c>
      <c r="S191" s="37">
        <f>IFERROR(S153/S13,"")</f>
        <v/>
      </c>
      <c r="T191" s="37">
        <f>IFERROR(T153/T13,"")</f>
        <v/>
      </c>
      <c r="U191" s="37">
        <f>IFERROR(U153/U13,"")</f>
        <v/>
      </c>
      <c r="V191" s="37">
        <f>IFERROR(V153/V13,"")</f>
        <v/>
      </c>
      <c r="W191" s="37">
        <f>IFERROR(W153/W13,"")</f>
        <v/>
      </c>
      <c r="X191" s="37">
        <f>IFERROR(X153/X13,"")</f>
        <v/>
      </c>
      <c r="Y191" s="37">
        <f>IFERROR(Y153/Y13,"")</f>
        <v/>
      </c>
    </row>
    <row r="192">
      <c r="D192" s="9" t="inlineStr">
        <is>
          <t>Other Liabilities (% of Revenue) [DRIVER]</t>
        </is>
      </c>
      <c r="G192" s="37">
        <f>IFERROR(G155/G13,"")</f>
        <v/>
      </c>
      <c r="H192" s="37">
        <f>IFERROR(H155/H13,"")</f>
        <v/>
      </c>
      <c r="I192" s="37">
        <f>IFERROR(I155/I13,"")</f>
        <v/>
      </c>
      <c r="J192" s="37">
        <f>IFERROR(J155/J13,"")</f>
        <v/>
      </c>
      <c r="K192" s="37">
        <f>IFERROR(K155/K13,"")</f>
        <v/>
      </c>
      <c r="L192" s="37">
        <f>IFERROR(L155/L13,"")</f>
        <v/>
      </c>
      <c r="M192" s="37">
        <f>IFERROR(M155/M13,"")</f>
        <v/>
      </c>
      <c r="N192" s="37">
        <f>IFERROR(N155/N13,"")</f>
        <v/>
      </c>
      <c r="O192" s="37">
        <f>IFERROR(O155/O13,"")</f>
        <v/>
      </c>
      <c r="P192" s="37">
        <f>IFERROR(P155/P13,"")</f>
        <v/>
      </c>
      <c r="R192" s="37">
        <f>IFERROR(R155/R13,"")</f>
        <v/>
      </c>
      <c r="S192" s="37">
        <f>IFERROR(S155/S13,"")</f>
        <v/>
      </c>
      <c r="T192" s="37">
        <f>IFERROR(T155/T13,"")</f>
        <v/>
      </c>
      <c r="U192" s="37">
        <f>IFERROR(U155/U13,"")</f>
        <v/>
      </c>
      <c r="V192" s="37">
        <f>IFERROR(V155/V13,"")</f>
        <v/>
      </c>
      <c r="W192" s="37">
        <f>IFERROR(W155/W13,"")</f>
        <v/>
      </c>
      <c r="X192" s="37">
        <f>IFERROR(X155/X13,"")</f>
        <v/>
      </c>
      <c r="Y192" s="37">
        <f>IFERROR(Y155/Y13,"")</f>
        <v/>
      </c>
    </row>
    <row r="193"/>
    <row r="194">
      <c r="D194" s="9" t="inlineStr">
        <is>
          <t>Total Debt &amp; Finance Leases (Curr + NC)</t>
        </is>
      </c>
      <c r="G194" s="36">
        <f>IF(G128="","",G148+G154)</f>
        <v/>
      </c>
      <c r="H194" s="36">
        <f>IF(H128="","",H148+H154)</f>
        <v/>
      </c>
      <c r="I194" s="36">
        <f>IF(I128="","",I148+I154)</f>
        <v/>
      </c>
      <c r="J194" s="36">
        <f>IF(J128="","",J148+J154)</f>
        <v/>
      </c>
      <c r="K194" s="36">
        <f>IF(K128="","",K148+K154)</f>
        <v/>
      </c>
      <c r="L194" s="36">
        <f>IF(L128="","",L148+L154)</f>
        <v/>
      </c>
      <c r="M194" s="36">
        <f>IF(M128="","",M148+M154)</f>
        <v/>
      </c>
      <c r="N194" s="36">
        <f>IF(N128="","",N148+N154)</f>
        <v/>
      </c>
      <c r="O194" s="36">
        <f>IF(O128="","",O148+O154)</f>
        <v/>
      </c>
      <c r="P194" s="36">
        <f>IF(P128="","",P148+P154)</f>
        <v/>
      </c>
      <c r="R194" s="36">
        <f>IF(R128="","",R148+R154)</f>
        <v/>
      </c>
      <c r="S194" s="36">
        <f>IF(S128="","",S148+S154)</f>
        <v/>
      </c>
      <c r="T194" s="36">
        <f>IF(T128="","",T148+T154)</f>
        <v/>
      </c>
      <c r="U194" s="36">
        <f>IF(U128="","",U148+U154)</f>
        <v/>
      </c>
      <c r="V194" s="36">
        <f>IF(V128="","",V148+V154)</f>
        <v/>
      </c>
      <c r="W194" s="36">
        <f>IF(W128="","",W148+W154)</f>
        <v/>
      </c>
      <c r="X194" s="36">
        <f>IF(X128="","",X148+X154)</f>
        <v/>
      </c>
      <c r="Y194" s="36">
        <f>IF(Y128="","",Y148+Y154)</f>
        <v/>
      </c>
    </row>
    <row r="195">
      <c r="D195" s="9" t="inlineStr">
        <is>
          <t>Net Debt (Debt − Cash − Mkt Sec)</t>
        </is>
      </c>
      <c r="G195" s="36">
        <f>IF(G128="","",G194-G128-G129)</f>
        <v/>
      </c>
      <c r="H195" s="36">
        <f>IF(H128="","",H194-H128-H129)</f>
        <v/>
      </c>
      <c r="I195" s="36">
        <f>IF(I128="","",I194-I128-I129)</f>
        <v/>
      </c>
      <c r="J195" s="36">
        <f>IF(J128="","",J194-J128-J129)</f>
        <v/>
      </c>
      <c r="K195" s="36">
        <f>IF(K128="","",K194-K128-K129)</f>
        <v/>
      </c>
      <c r="L195" s="36">
        <f>IF(L128="","",L194-L128-L129)</f>
        <v/>
      </c>
      <c r="M195" s="36">
        <f>IF(M128="","",M194-M128-M129)</f>
        <v/>
      </c>
      <c r="N195" s="36">
        <f>IF(N128="","",N194-N128-N129)</f>
        <v/>
      </c>
      <c r="O195" s="36">
        <f>IF(O128="","",O194-O128-O129)</f>
        <v/>
      </c>
      <c r="P195" s="36">
        <f>IF(P128="","",P194-P128-P129)</f>
        <v/>
      </c>
      <c r="R195" s="36">
        <f>IF(R128="","",R194-R128-R129)</f>
        <v/>
      </c>
      <c r="S195" s="36">
        <f>IF(S128="","",S194-S128-S129)</f>
        <v/>
      </c>
      <c r="T195" s="36">
        <f>IF(T128="","",T194-T128-T129)</f>
        <v/>
      </c>
      <c r="U195" s="36">
        <f>IF(U128="","",U194-U128-U129)</f>
        <v/>
      </c>
      <c r="V195" s="36">
        <f>IF(V128="","",V194-V128-V129)</f>
        <v/>
      </c>
      <c r="W195" s="36">
        <f>IF(W128="","",W194-W128-W129)</f>
        <v/>
      </c>
      <c r="X195" s="36">
        <f>IF(X128="","",X194-X128-X129)</f>
        <v/>
      </c>
      <c r="Y195" s="36">
        <f>IF(Y128="","",Y194-Y128-Y129)</f>
        <v/>
      </c>
    </row>
    <row r="196">
      <c r="D196" s="9" t="inlineStr">
        <is>
          <t>Debt / Equity</t>
        </is>
      </c>
      <c r="G196" s="46">
        <f>IFERROR(G194/G168,"")</f>
        <v/>
      </c>
      <c r="H196" s="46">
        <f>IFERROR(H194/H168,"")</f>
        <v/>
      </c>
      <c r="I196" s="46">
        <f>IFERROR(I194/I168,"")</f>
        <v/>
      </c>
      <c r="J196" s="46">
        <f>IFERROR(J194/J168,"")</f>
        <v/>
      </c>
      <c r="K196" s="46">
        <f>IFERROR(K194/K168,"")</f>
        <v/>
      </c>
      <c r="L196" s="46">
        <f>IFERROR(L194/L168,"")</f>
        <v/>
      </c>
      <c r="M196" s="46">
        <f>IFERROR(M194/M168,"")</f>
        <v/>
      </c>
      <c r="N196" s="46">
        <f>IFERROR(N194/N168,"")</f>
        <v/>
      </c>
      <c r="O196" s="46">
        <f>IFERROR(O194/O168,"")</f>
        <v/>
      </c>
      <c r="P196" s="46">
        <f>IFERROR(P194/P168,"")</f>
        <v/>
      </c>
      <c r="R196" s="46">
        <f>IFERROR(R194/R168,"")</f>
        <v/>
      </c>
      <c r="S196" s="46">
        <f>IFERROR(S194/S168,"")</f>
        <v/>
      </c>
      <c r="T196" s="46">
        <f>IFERROR(T194/T168,"")</f>
        <v/>
      </c>
      <c r="U196" s="46">
        <f>IFERROR(U194/U168,"")</f>
        <v/>
      </c>
      <c r="V196" s="46">
        <f>IFERROR(V194/V168,"")</f>
        <v/>
      </c>
      <c r="W196" s="46">
        <f>IFERROR(W194/W168,"")</f>
        <v/>
      </c>
      <c r="X196" s="46">
        <f>IFERROR(X194/X168,"")</f>
        <v/>
      </c>
      <c r="Y196" s="46">
        <f>IFERROR(Y194/Y168,"")</f>
        <v/>
      </c>
    </row>
    <row r="197">
      <c r="D197" s="9" t="inlineStr">
        <is>
          <t>Net Debt / Adjusted EBITDA (annual only)</t>
        </is>
      </c>
      <c r="R197" s="46">
        <f>IFERROR(R195/R84,"")</f>
        <v/>
      </c>
      <c r="S197" s="46">
        <f>IFERROR(S195/S84,"")</f>
        <v/>
      </c>
      <c r="T197" s="46">
        <f>IFERROR(T195/T84,"")</f>
        <v/>
      </c>
      <c r="U197" s="46">
        <f>IFERROR(U195/U84,"")</f>
        <v/>
      </c>
      <c r="V197" s="46">
        <f>IFERROR(V195/V84,"")</f>
        <v/>
      </c>
      <c r="W197" s="46">
        <f>IFERROR(W195/W84,"")</f>
        <v/>
      </c>
      <c r="X197" s="46">
        <f>IFERROR(X195/X84,"")</f>
        <v/>
      </c>
      <c r="Y197" s="46">
        <f>IFERROR(Y195/Y84,"")</f>
        <v/>
      </c>
    </row>
    <row r="198"/>
    <row r="199">
      <c r="D199" s="9" t="inlineStr">
        <is>
          <t>PP&amp;E (% of Revenue)</t>
        </is>
      </c>
      <c r="G199" s="37">
        <f>IFERROR(G136/G13,"")</f>
        <v/>
      </c>
      <c r="H199" s="37">
        <f>IFERROR(H136/H13,"")</f>
        <v/>
      </c>
      <c r="I199" s="37">
        <f>IFERROR(I136/I13,"")</f>
        <v/>
      </c>
      <c r="J199" s="37">
        <f>IFERROR(J136/J13,"")</f>
        <v/>
      </c>
      <c r="K199" s="37">
        <f>IFERROR(K136/K13,"")</f>
        <v/>
      </c>
      <c r="L199" s="37">
        <f>IFERROR(L136/L13,"")</f>
        <v/>
      </c>
      <c r="M199" s="37">
        <f>IFERROR(M136/M13,"")</f>
        <v/>
      </c>
      <c r="N199" s="37">
        <f>IFERROR(N136/N13,"")</f>
        <v/>
      </c>
      <c r="O199" s="37">
        <f>IFERROR(O136/O13,"")</f>
        <v/>
      </c>
      <c r="P199" s="37">
        <f>IFERROR(P136/P13,"")</f>
        <v/>
      </c>
      <c r="R199" s="37">
        <f>IFERROR(R136/R13,"")</f>
        <v/>
      </c>
      <c r="S199" s="37">
        <f>IFERROR(S136/S13,"")</f>
        <v/>
      </c>
      <c r="T199" s="37">
        <f>IFERROR(T136/T13,"")</f>
        <v/>
      </c>
      <c r="U199" s="37">
        <f>IFERROR(U136/U13,"")</f>
        <v/>
      </c>
      <c r="V199" s="37">
        <f>IFERROR(V136/V13,"")</f>
        <v/>
      </c>
      <c r="W199" s="37">
        <f>IFERROR(W136/W13,"")</f>
        <v/>
      </c>
      <c r="X199" s="37">
        <f>IFERROR(X136/X13,"")</f>
        <v/>
      </c>
      <c r="Y199" s="37">
        <f>IFERROR(Y136/Y13,"")</f>
        <v/>
      </c>
    </row>
    <row r="200">
      <c r="D200" s="9" t="inlineStr">
        <is>
          <t>D&amp;A (% of Prior-Period PP&amp;E) [DRIVER]</t>
        </is>
      </c>
      <c r="S200" s="37">
        <f>IFERROR(S228/R136,"")</f>
        <v/>
      </c>
      <c r="T200" s="37">
        <f>IFERROR(T228/S136,"")</f>
        <v/>
      </c>
    </row>
    <row r="201">
      <c r="D201" s="9" t="inlineStr">
        <is>
          <t>Capex incl. Capitalized Interest (% of Revenue) [DRIVER]</t>
        </is>
      </c>
      <c r="G201" s="37">
        <f>IFERROR(-(G248+G249)/G13,"")</f>
        <v/>
      </c>
      <c r="H201" s="37">
        <f>IFERROR(-(H248+H249)/H13,"")</f>
        <v/>
      </c>
      <c r="I201" s="37">
        <f>IFERROR(-(I248+I249)/I13,"")</f>
        <v/>
      </c>
      <c r="J201" s="37">
        <f>IFERROR(-(J248+J249)/J13,"")</f>
        <v/>
      </c>
      <c r="K201" s="37">
        <f>IFERROR(-(K248+K249)/K13,"")</f>
        <v/>
      </c>
      <c r="L201" s="37">
        <f>IFERROR(-(L248+L249)/L13,"")</f>
        <v/>
      </c>
      <c r="M201" s="37">
        <f>IFERROR(-(M248+M249)/M13,"")</f>
        <v/>
      </c>
      <c r="N201" s="37">
        <f>IFERROR(-(N248+N249)/N13,"")</f>
        <v/>
      </c>
      <c r="O201" s="37">
        <f>IFERROR(-(O248+O249)/O13,"")</f>
        <v/>
      </c>
      <c r="P201" s="37">
        <f>IFERROR(-(P248+P249)/P13,"")</f>
        <v/>
      </c>
      <c r="R201" s="37">
        <f>IFERROR(-(R248+R249)/R13,"")</f>
        <v/>
      </c>
      <c r="S201" s="37">
        <f>IFERROR(-(S248+S249)/S13,"")</f>
        <v/>
      </c>
      <c r="T201" s="37">
        <f>IFERROR(-(T248+T249)/T13,"")</f>
        <v/>
      </c>
      <c r="U201" s="37">
        <f>IFERROR(-(U248+U249)/U13,"")</f>
        <v/>
      </c>
      <c r="V201" s="37">
        <f>IFERROR(-(V248+V249)/V13,"")</f>
        <v/>
      </c>
      <c r="W201" s="37">
        <f>IFERROR(-(W248+W249)/W13,"")</f>
        <v/>
      </c>
      <c r="X201" s="37">
        <f>IFERROR(-(X248+X249)/X13,"")</f>
        <v/>
      </c>
      <c r="Y201" s="37">
        <f>IFERROR(-(Y248+Y249)/Y13,"")</f>
        <v/>
      </c>
    </row>
    <row r="202"/>
    <row r="203"/>
    <row r="204"/>
    <row r="205">
      <c r="B205" s="19" t="inlineStr">
        <is>
          <t>BS Forecast Driver Ratios</t>
        </is>
      </c>
      <c r="C205" s="19" t="n"/>
      <c r="D205" s="19" t="n"/>
      <c r="E205" s="19" t="n"/>
      <c r="F205" s="19" t="n"/>
      <c r="G205" s="19" t="n"/>
      <c r="H205" s="19" t="n"/>
      <c r="I205" s="19" t="n"/>
      <c r="J205" s="19" t="n"/>
      <c r="K205" s="19" t="n"/>
      <c r="L205" s="19" t="n"/>
      <c r="M205" s="19" t="n"/>
      <c r="N205" s="19" t="n"/>
      <c r="O205" s="19" t="n"/>
      <c r="P205" s="19" t="n"/>
      <c r="R205" s="19" t="n"/>
      <c r="S205" s="19" t="n"/>
      <c r="T205" s="19" t="n"/>
      <c r="U205" s="19" t="n"/>
      <c r="V205" s="19" t="n"/>
      <c r="W205" s="19" t="n"/>
      <c r="X205" s="19" t="n"/>
      <c r="Y205" s="19" t="n"/>
    </row>
    <row r="206">
      <c r="C206" s="8" t="inlineStr">
        <is>
          <t>Historical cols = live formulas vs actuals; projected cols = blue assumptions. Quarterly-basis and annual-basis %-of-revenue values differ (period length) — see memo.</t>
        </is>
      </c>
    </row>
    <row r="207"/>
    <row r="208">
      <c r="D208" s="9" t="inlineStr">
        <is>
          <t>DSO (days) [DRIVER]</t>
        </is>
      </c>
      <c r="G208" s="23">
        <f>IFERROR(G130/G13*G179,"")</f>
        <v/>
      </c>
      <c r="H208" s="23">
        <f>IFERROR(H130/H13*H179,"")</f>
        <v/>
      </c>
      <c r="I208" s="50" t="n">
        <v>35</v>
      </c>
      <c r="J208" s="50" t="n">
        <v>35</v>
      </c>
      <c r="K208" s="50" t="n">
        <v>35</v>
      </c>
      <c r="L208" s="50" t="n">
        <v>35</v>
      </c>
      <c r="M208" s="50" t="n">
        <v>35</v>
      </c>
      <c r="N208" s="50" t="n">
        <v>35</v>
      </c>
      <c r="O208" s="50" t="n">
        <v>35</v>
      </c>
      <c r="P208" s="50" t="n">
        <v>35</v>
      </c>
      <c r="R208" s="23">
        <f>IFERROR(R130/R13*R179,"")</f>
        <v/>
      </c>
      <c r="S208" s="23">
        <f>IFERROR(S130/S13*S179,"")</f>
        <v/>
      </c>
      <c r="T208" s="23">
        <f>IFERROR(T130/T13*T179,"")</f>
        <v/>
      </c>
      <c r="U208" s="23">
        <f>IFERROR(U130/U13*U179,"")</f>
        <v/>
      </c>
      <c r="V208" s="23">
        <f>IFERROR(V130/V13*V179,"")</f>
        <v/>
      </c>
      <c r="W208" s="50" t="n">
        <v>31</v>
      </c>
      <c r="X208" s="50" t="n">
        <v>31</v>
      </c>
      <c r="Y208" s="50" t="n">
        <v>31</v>
      </c>
    </row>
    <row r="209">
      <c r="D209" s="9" t="inlineStr">
        <is>
          <t>DIO (days) [DRIVER]</t>
        </is>
      </c>
      <c r="G209" s="23">
        <f>IFERROR(-G131/G16*G179,"")</f>
        <v/>
      </c>
      <c r="H209" s="23">
        <f>IFERROR(-H131/H16*H179,"")</f>
        <v/>
      </c>
      <c r="I209" s="50" t="n">
        <v>95</v>
      </c>
      <c r="J209" s="50" t="n">
        <v>95</v>
      </c>
      <c r="K209" s="50" t="n">
        <v>95</v>
      </c>
      <c r="L209" s="50" t="n">
        <v>95</v>
      </c>
      <c r="M209" s="50" t="n">
        <v>95</v>
      </c>
      <c r="N209" s="50" t="n">
        <v>95</v>
      </c>
      <c r="O209" s="50" t="n">
        <v>95</v>
      </c>
      <c r="P209" s="50" t="n">
        <v>95</v>
      </c>
      <c r="R209" s="23">
        <f>IFERROR(-R131/R16*R179,"")</f>
        <v/>
      </c>
      <c r="S209" s="23">
        <f>IFERROR(-S131/S16*S179,"")</f>
        <v/>
      </c>
      <c r="T209" s="23">
        <f>IFERROR(-T131/T16*T179,"")</f>
        <v/>
      </c>
      <c r="U209" s="23">
        <f>IFERROR(-U131/U16*U179,"")</f>
        <v/>
      </c>
      <c r="V209" s="23">
        <f>IFERROR(-V131/V16*V179,"")</f>
        <v/>
      </c>
      <c r="W209" s="50" t="n">
        <v>93</v>
      </c>
      <c r="X209" s="50" t="n">
        <v>93</v>
      </c>
      <c r="Y209" s="50" t="n">
        <v>93</v>
      </c>
    </row>
    <row r="210">
      <c r="D210" s="9" t="inlineStr">
        <is>
          <t>DPO (days) [DRIVER]</t>
        </is>
      </c>
      <c r="G210" s="23">
        <f>IFERROR(-G146/G16*G179,"")</f>
        <v/>
      </c>
      <c r="H210" s="23">
        <f>IFERROR(-H146/H16*H179,"")</f>
        <v/>
      </c>
      <c r="I210" s="50" t="n">
        <v>370</v>
      </c>
      <c r="J210" s="50" t="n">
        <v>360</v>
      </c>
      <c r="K210" s="50" t="n">
        <v>350</v>
      </c>
      <c r="L210" s="50" t="n">
        <v>340</v>
      </c>
      <c r="M210" s="50" t="n">
        <v>330</v>
      </c>
      <c r="N210" s="50" t="n">
        <v>320</v>
      </c>
      <c r="O210" s="50" t="n">
        <v>310</v>
      </c>
      <c r="P210" s="50" t="n">
        <v>300</v>
      </c>
      <c r="R210" s="23">
        <f>IFERROR(-R146/R16*R179,"")</f>
        <v/>
      </c>
      <c r="S210" s="23">
        <f>IFERROR(-S146/S16*S179,"")</f>
        <v/>
      </c>
      <c r="T210" s="23">
        <f>IFERROR(-T146/T16*T179,"")</f>
        <v/>
      </c>
      <c r="U210" s="23">
        <f>IFERROR(-U146/U16*U179,"")</f>
        <v/>
      </c>
      <c r="V210" s="23">
        <f>IFERROR(-V146/V16*V179,"")</f>
        <v/>
      </c>
      <c r="W210" s="50" t="n">
        <v>300</v>
      </c>
      <c r="X210" s="50" t="n">
        <v>290</v>
      </c>
      <c r="Y210" s="50" t="n">
        <v>280</v>
      </c>
    </row>
    <row r="211">
      <c r="D211" s="9" t="inlineStr">
        <is>
          <t>Deferred Revenue Days, Current [DRIVER]</t>
        </is>
      </c>
      <c r="G211" s="23">
        <f>IFERROR(G147/G13*G179,"")</f>
        <v/>
      </c>
      <c r="H211" s="23">
        <f>IFERROR(H147/H13*H179,"")</f>
        <v/>
      </c>
      <c r="I211" s="50" t="n">
        <v>135</v>
      </c>
      <c r="J211" s="50" t="n">
        <v>135</v>
      </c>
      <c r="K211" s="50" t="n">
        <v>135</v>
      </c>
      <c r="L211" s="50" t="n">
        <v>135</v>
      </c>
      <c r="M211" s="50" t="n">
        <v>135</v>
      </c>
      <c r="N211" s="50" t="n">
        <v>135</v>
      </c>
      <c r="O211" s="50" t="n">
        <v>135</v>
      </c>
      <c r="P211" s="50" t="n">
        <v>135</v>
      </c>
      <c r="R211" s="23">
        <f>IFERROR(R147/R13*R179,"")</f>
        <v/>
      </c>
      <c r="S211" s="23">
        <f>IFERROR(S147/S13*S179,"")</f>
        <v/>
      </c>
      <c r="T211" s="23">
        <f>IFERROR(T147/T13*T179,"")</f>
        <v/>
      </c>
      <c r="U211" s="23">
        <f>IFERROR(U147/U13*U179,"")</f>
        <v/>
      </c>
      <c r="V211" s="23">
        <f>IFERROR(V147/V13*V179,"")</f>
        <v/>
      </c>
      <c r="W211" s="50" t="n">
        <v>118</v>
      </c>
      <c r="X211" s="50" t="n">
        <v>118</v>
      </c>
      <c r="Y211" s="50" t="n">
        <v>118</v>
      </c>
    </row>
    <row r="212">
      <c r="D212" s="9" t="inlineStr">
        <is>
          <t>Prepaid &amp; Other CA (% of Revenue) [DRIVER]</t>
        </is>
      </c>
      <c r="G212" s="37">
        <f>IFERROR(G132/G13,"")</f>
        <v/>
      </c>
      <c r="H212" s="37">
        <f>IFERROR(H132/H13,"")</f>
        <v/>
      </c>
      <c r="I212" s="42" t="n">
        <v>0.33</v>
      </c>
      <c r="J212" s="42" t="n">
        <v>0.33</v>
      </c>
      <c r="K212" s="42" t="n">
        <v>0.33</v>
      </c>
      <c r="L212" s="42" t="n">
        <v>0.33</v>
      </c>
      <c r="M212" s="42" t="n">
        <v>0.33</v>
      </c>
      <c r="N212" s="42" t="n">
        <v>0.33</v>
      </c>
      <c r="O212" s="42" t="n">
        <v>0.33</v>
      </c>
      <c r="P212" s="42" t="n">
        <v>0.33</v>
      </c>
      <c r="R212" s="37">
        <f>IFERROR(R132/R13,"")</f>
        <v/>
      </c>
      <c r="S212" s="37">
        <f>IFERROR(S132/S13,"")</f>
        <v/>
      </c>
      <c r="T212" s="37">
        <f>IFERROR(T132/T13,"")</f>
        <v/>
      </c>
      <c r="U212" s="37">
        <f>IFERROR(U132/U13,"")</f>
        <v/>
      </c>
      <c r="V212" s="37">
        <f>IFERROR(V132/V13,"")</f>
        <v/>
      </c>
      <c r="W212" s="42" t="n">
        <v>0.1</v>
      </c>
      <c r="X212" s="42" t="n">
        <v>0.1</v>
      </c>
      <c r="Y212" s="42" t="n">
        <v>0.1</v>
      </c>
    </row>
    <row r="213">
      <c r="D213" s="9" t="inlineStr">
        <is>
          <t>Accrued &amp; Other CL (% of Revenue) [DRIVER]</t>
        </is>
      </c>
      <c r="G213" s="37">
        <f>IFERROR(G149/G13,"")</f>
        <v/>
      </c>
      <c r="H213" s="37">
        <f>IFERROR(H149/H13,"")</f>
        <v/>
      </c>
      <c r="I213" s="42" t="n">
        <v>1.15</v>
      </c>
      <c r="J213" s="42" t="n">
        <v>1.15</v>
      </c>
      <c r="K213" s="42" t="n">
        <v>1.15</v>
      </c>
      <c r="L213" s="42" t="n">
        <v>1.15</v>
      </c>
      <c r="M213" s="42" t="n">
        <v>1.15</v>
      </c>
      <c r="N213" s="42" t="n">
        <v>1.15</v>
      </c>
      <c r="O213" s="42" t="n">
        <v>1.15</v>
      </c>
      <c r="P213" s="42" t="n">
        <v>1.15</v>
      </c>
      <c r="R213" s="37">
        <f>IFERROR(R149/R13,"")</f>
        <v/>
      </c>
      <c r="S213" s="37">
        <f>IFERROR(S149/S13,"")</f>
        <v/>
      </c>
      <c r="T213" s="37">
        <f>IFERROR(T149/T13,"")</f>
        <v/>
      </c>
      <c r="U213" s="37">
        <f>IFERROR(U149/U13,"")</f>
        <v/>
      </c>
      <c r="V213" s="37">
        <f>IFERROR(V149/V13,"")</f>
        <v/>
      </c>
      <c r="W213" s="42" t="n">
        <v>0.28</v>
      </c>
      <c r="X213" s="42" t="n">
        <v>0.27</v>
      </c>
      <c r="Y213" s="42" t="n">
        <v>0.26</v>
      </c>
    </row>
    <row r="214">
      <c r="D214" s="9" t="inlineStr">
        <is>
          <t>Deferred Revenue NC (% of Revenue) [DRIVER]</t>
        </is>
      </c>
      <c r="G214" s="37">
        <f>IFERROR(G153/G13,"")</f>
        <v/>
      </c>
      <c r="H214" s="37">
        <f>IFERROR(H153/H13,"")</f>
        <v/>
      </c>
      <c r="I214" s="42" t="n">
        <v>1.25</v>
      </c>
      <c r="J214" s="42" t="n">
        <v>1.25</v>
      </c>
      <c r="K214" s="42" t="n">
        <v>1.25</v>
      </c>
      <c r="L214" s="42" t="n">
        <v>1.25</v>
      </c>
      <c r="M214" s="42" t="n">
        <v>1.25</v>
      </c>
      <c r="N214" s="42" t="n">
        <v>1.25</v>
      </c>
      <c r="O214" s="42" t="n">
        <v>1.25</v>
      </c>
      <c r="P214" s="42" t="n">
        <v>1.25</v>
      </c>
      <c r="R214" s="37">
        <f>IFERROR(R153/R13,"")</f>
        <v/>
      </c>
      <c r="S214" s="37">
        <f>IFERROR(S153/S13,"")</f>
        <v/>
      </c>
      <c r="T214" s="37">
        <f>IFERROR(T153/T13,"")</f>
        <v/>
      </c>
      <c r="U214" s="37">
        <f>IFERROR(U153/U13,"")</f>
        <v/>
      </c>
      <c r="V214" s="37">
        <f>IFERROR(V153/V13,"")</f>
        <v/>
      </c>
      <c r="W214" s="42" t="n">
        <v>0.31</v>
      </c>
      <c r="X214" s="42" t="n">
        <v>0.31</v>
      </c>
      <c r="Y214" s="42" t="n">
        <v>0.31</v>
      </c>
    </row>
    <row r="215">
      <c r="D215" s="9" t="inlineStr">
        <is>
          <t>Other Liabilities (% of Revenue) [DRIVER]</t>
        </is>
      </c>
      <c r="G215" s="37">
        <f>IFERROR(G155/G13,"")</f>
        <v/>
      </c>
      <c r="H215" s="37">
        <f>IFERROR(H155/H13,"")</f>
        <v/>
      </c>
      <c r="I215" s="42" t="n">
        <v>0.27</v>
      </c>
      <c r="J215" s="42" t="n">
        <v>0.27</v>
      </c>
      <c r="K215" s="42" t="n">
        <v>0.27</v>
      </c>
      <c r="L215" s="42" t="n">
        <v>0.27</v>
      </c>
      <c r="M215" s="42" t="n">
        <v>0.27</v>
      </c>
      <c r="N215" s="42" t="n">
        <v>0.27</v>
      </c>
      <c r="O215" s="42" t="n">
        <v>0.27</v>
      </c>
      <c r="P215" s="42" t="n">
        <v>0.27</v>
      </c>
      <c r="R215" s="37">
        <f>IFERROR(R155/R13,"")</f>
        <v/>
      </c>
      <c r="S215" s="37">
        <f>IFERROR(S155/S13,"")</f>
        <v/>
      </c>
      <c r="T215" s="37">
        <f>IFERROR(T155/T13,"")</f>
        <v/>
      </c>
      <c r="U215" s="37">
        <f>IFERROR(U155/U13,"")</f>
        <v/>
      </c>
      <c r="V215" s="37">
        <f>IFERROR(V155/V13,"")</f>
        <v/>
      </c>
      <c r="W215" s="42" t="n">
        <v>0.068</v>
      </c>
      <c r="X215" s="42" t="n">
        <v>0.066</v>
      </c>
      <c r="Y215" s="42" t="n">
        <v>0.064</v>
      </c>
    </row>
    <row r="216"/>
    <row r="217">
      <c r="D217" s="9" t="inlineStr">
        <is>
          <t>PP&amp;E Depreciation (% of Prior PP&amp;E, per period) [DRIVER] — INFO: hist split n/a</t>
        </is>
      </c>
      <c r="I217" s="42" t="n">
        <v>0.054</v>
      </c>
      <c r="J217" s="42" t="n">
        <v>0.054</v>
      </c>
      <c r="K217" s="42" t="n">
        <v>0.054</v>
      </c>
      <c r="L217" s="42" t="n">
        <v>0.054</v>
      </c>
      <c r="M217" s="42" t="n">
        <v>0.054</v>
      </c>
      <c r="N217" s="42" t="n">
        <v>0.054</v>
      </c>
      <c r="O217" s="42" t="n">
        <v>0.054</v>
      </c>
      <c r="P217" s="42" t="n">
        <v>0.054</v>
      </c>
      <c r="U217" s="42" t="n">
        <v>0.195</v>
      </c>
      <c r="V217" s="42" t="n">
        <v>0.195</v>
      </c>
      <c r="W217" s="42" t="n">
        <v>0.195</v>
      </c>
      <c r="X217" s="42" t="n">
        <v>0.195</v>
      </c>
      <c r="Y217" s="42" t="n">
        <v>0.195</v>
      </c>
    </row>
    <row r="218">
      <c r="D218" s="9" t="inlineStr">
        <is>
          <t>Intangibles Amortization (% of Prior Intangibles, per period) [DRIVER] — INFO: hist split n/a</t>
        </is>
      </c>
      <c r="I218" s="42" t="n">
        <v>0.073</v>
      </c>
      <c r="J218" s="42" t="n">
        <v>0.073</v>
      </c>
      <c r="K218" s="42" t="n">
        <v>0.073</v>
      </c>
      <c r="L218" s="42" t="n">
        <v>0.073</v>
      </c>
      <c r="M218" s="42" t="n">
        <v>0.073</v>
      </c>
      <c r="N218" s="42" t="n">
        <v>0.073</v>
      </c>
      <c r="O218" s="42" t="n">
        <v>0.073</v>
      </c>
      <c r="P218" s="42" t="n">
        <v>0.073</v>
      </c>
      <c r="U218" s="42" t="n">
        <v>0.25</v>
      </c>
      <c r="V218" s="42" t="n">
        <v>0.25</v>
      </c>
      <c r="W218" s="42" t="n">
        <v>0.25</v>
      </c>
      <c r="X218" s="42" t="n">
        <v>0.25</v>
      </c>
      <c r="Y218" s="42" t="n">
        <v>0.25</v>
      </c>
    </row>
    <row r="219">
      <c r="D219" s="2" t="inlineStr">
        <is>
          <t>PP&amp;E Depreciation ($M) — derived</t>
        </is>
      </c>
      <c r="I219" s="36">
        <f>I217*H136</f>
        <v/>
      </c>
      <c r="J219" s="36">
        <f>J217*I136</f>
        <v/>
      </c>
      <c r="K219" s="36">
        <f>K217*J136</f>
        <v/>
      </c>
      <c r="L219" s="36">
        <f>L217*K136</f>
        <v/>
      </c>
      <c r="M219" s="36">
        <f>M217*L136</f>
        <v/>
      </c>
      <c r="N219" s="36">
        <f>N217*M136</f>
        <v/>
      </c>
      <c r="O219" s="36">
        <f>O217*N136</f>
        <v/>
      </c>
      <c r="P219" s="36">
        <f>P217*O136</f>
        <v/>
      </c>
      <c r="U219" s="36">
        <f>H219+I219+J219+K219</f>
        <v/>
      </c>
      <c r="V219" s="36">
        <f>L219+M219+N219+O219</f>
        <v/>
      </c>
      <c r="W219" s="36">
        <f>W217*V136</f>
        <v/>
      </c>
      <c r="X219" s="36">
        <f>X217*W136</f>
        <v/>
      </c>
      <c r="Y219" s="36">
        <f>Y217*X136</f>
        <v/>
      </c>
    </row>
    <row r="220">
      <c r="D220" s="2" t="inlineStr">
        <is>
          <t>Intangibles Amortization ($M) — derived</t>
        </is>
      </c>
      <c r="I220" s="36">
        <f>I218*H138</f>
        <v/>
      </c>
      <c r="J220" s="36">
        <f>J218*I138</f>
        <v/>
      </c>
      <c r="K220" s="36">
        <f>K218*J138</f>
        <v/>
      </c>
      <c r="L220" s="36">
        <f>L218*K138</f>
        <v/>
      </c>
      <c r="M220" s="36">
        <f>M218*L138</f>
        <v/>
      </c>
      <c r="N220" s="36">
        <f>N218*M138</f>
        <v/>
      </c>
      <c r="O220" s="36">
        <f>O218*N138</f>
        <v/>
      </c>
      <c r="P220" s="36">
        <f>P218*O138</f>
        <v/>
      </c>
      <c r="U220" s="36">
        <f>H220+I220+J220+K220</f>
        <v/>
      </c>
      <c r="V220" s="36">
        <f>L220+M220+N220+O220</f>
        <v/>
      </c>
      <c r="W220" s="36">
        <f>W218*V138</f>
        <v/>
      </c>
      <c r="X220" s="36">
        <f>X218*W138</f>
        <v/>
      </c>
      <c r="Y220" s="36">
        <f>Y218*X138</f>
        <v/>
      </c>
    </row>
    <row r="221"/>
    <row r="222">
      <c r="D222" s="2" t="inlineStr">
        <is>
          <t>Preferred Conversion to Equity ($M — 2Q26 IPO event, non-cash)</t>
        </is>
      </c>
      <c r="I222" s="35" t="n">
        <v>7049</v>
      </c>
      <c r="J222" s="35" t="n">
        <v>0</v>
      </c>
      <c r="K222" s="35" t="n">
        <v>0</v>
      </c>
      <c r="L222" s="35" t="n">
        <v>0</v>
      </c>
      <c r="M222" s="35" t="n">
        <v>0</v>
      </c>
      <c r="N222" s="35" t="n">
        <v>0</v>
      </c>
      <c r="O222" s="35" t="n">
        <v>0</v>
      </c>
      <c r="P222" s="35" t="n">
        <v>0</v>
      </c>
      <c r="U222" s="36">
        <f>H222+I222+J222+K222</f>
        <v/>
      </c>
      <c r="V222" s="36">
        <f>L222+M222+N222+O222</f>
        <v/>
      </c>
      <c r="W222" s="35" t="n">
        <v>0</v>
      </c>
      <c r="X222" s="35" t="n">
        <v>0</v>
      </c>
      <c r="Y222" s="35" t="n">
        <v>0</v>
      </c>
    </row>
    <row r="223"/>
    <row r="224"/>
    <row r="225">
      <c r="B225" s="25" t="inlineStr">
        <is>
          <t>Cash Flow Statement</t>
        </is>
      </c>
      <c r="C225" s="25" t="n"/>
      <c r="D225" s="25" t="n"/>
      <c r="E225" s="25" t="n"/>
      <c r="F225" s="25" t="n"/>
      <c r="G225" s="25" t="n"/>
      <c r="H225" s="25" t="n"/>
      <c r="I225" s="25" t="n"/>
      <c r="J225" s="25" t="n"/>
      <c r="K225" s="25" t="n"/>
      <c r="L225" s="25" t="n"/>
      <c r="M225" s="25" t="n"/>
      <c r="N225" s="25" t="n"/>
      <c r="O225" s="25" t="n"/>
      <c r="P225" s="25" t="n"/>
      <c r="R225" s="25" t="n"/>
      <c r="S225" s="25" t="n"/>
      <c r="T225" s="25" t="n"/>
      <c r="U225" s="25" t="n"/>
      <c r="V225" s="25" t="n"/>
      <c r="W225" s="25" t="n"/>
      <c r="X225" s="25" t="n"/>
      <c r="Y225" s="25" t="n"/>
    </row>
    <row r="226">
      <c r="C226" s="8" t="inlineStr">
        <is>
          <t>Source: 424B4. Signs as filed (inflows +, outflows −). Some lines are annual-only or interim-only presentations — blanks are as-filed, not omissions.</t>
        </is>
      </c>
    </row>
    <row r="227">
      <c r="D227" s="9" t="inlineStr">
        <is>
          <t>Net Income (Loss)</t>
        </is>
      </c>
      <c r="G227" s="35" t="n">
        <v>-528</v>
      </c>
      <c r="H227" s="35" t="n">
        <v>-4276</v>
      </c>
      <c r="I227" s="36">
        <f>I39</f>
        <v/>
      </c>
      <c r="J227" s="36">
        <f>J39</f>
        <v/>
      </c>
      <c r="K227" s="36">
        <f>K39</f>
        <v/>
      </c>
      <c r="L227" s="36">
        <f>L39</f>
        <v/>
      </c>
      <c r="M227" s="36">
        <f>M39</f>
        <v/>
      </c>
      <c r="N227" s="36">
        <f>N39</f>
        <v/>
      </c>
      <c r="O227" s="36">
        <f>O39</f>
        <v/>
      </c>
      <c r="P227" s="36">
        <f>P39</f>
        <v/>
      </c>
      <c r="R227" s="35" t="n">
        <v>-4628</v>
      </c>
      <c r="S227" s="35" t="n">
        <v>791</v>
      </c>
      <c r="T227" s="35" t="n">
        <v>-4937</v>
      </c>
      <c r="U227" s="36">
        <f>H227+I227+J227+K227</f>
        <v/>
      </c>
      <c r="V227" s="36">
        <f>L227+M227+N227+O227</f>
        <v/>
      </c>
      <c r="W227" s="36">
        <f>W39</f>
        <v/>
      </c>
      <c r="X227" s="36">
        <f>X39</f>
        <v/>
      </c>
      <c r="Y227" s="36">
        <f>Y39</f>
        <v/>
      </c>
    </row>
    <row r="228">
      <c r="D228" s="9" t="inlineStr">
        <is>
          <t>Depreciation &amp; Amortization</t>
        </is>
      </c>
      <c r="G228" s="38" t="n">
        <v>1443</v>
      </c>
      <c r="H228" s="38" t="n">
        <v>2442</v>
      </c>
      <c r="I228" s="39">
        <f>I219+I220</f>
        <v/>
      </c>
      <c r="J228" s="39">
        <f>J219+J220</f>
        <v/>
      </c>
      <c r="K228" s="39">
        <f>K219+K220</f>
        <v/>
      </c>
      <c r="L228" s="39">
        <f>L219+L220</f>
        <v/>
      </c>
      <c r="M228" s="39">
        <f>M219+M220</f>
        <v/>
      </c>
      <c r="N228" s="39">
        <f>N219+N220</f>
        <v/>
      </c>
      <c r="O228" s="39">
        <f>O219+O220</f>
        <v/>
      </c>
      <c r="P228" s="39">
        <f>P219+P220</f>
        <v/>
      </c>
      <c r="R228" s="38" t="n">
        <v>2635</v>
      </c>
      <c r="S228" s="38" t="n">
        <v>3824</v>
      </c>
      <c r="T228" s="38" t="n">
        <v>6701</v>
      </c>
      <c r="U228" s="39">
        <f>H228+I228+J228+K228</f>
        <v/>
      </c>
      <c r="V228" s="39">
        <f>L228+M228+N228+O228</f>
        <v/>
      </c>
      <c r="W228" s="39">
        <f>W219+W220</f>
        <v/>
      </c>
      <c r="X228" s="39">
        <f>X219+X220</f>
        <v/>
      </c>
      <c r="Y228" s="39">
        <f>Y219+Y220</f>
        <v/>
      </c>
    </row>
    <row r="229">
      <c r="D229" s="9" t="inlineStr">
        <is>
          <t>Share-Based Compensation</t>
        </is>
      </c>
      <c r="G229" s="38" t="n">
        <v>232</v>
      </c>
      <c r="H229" s="38" t="n">
        <v>639</v>
      </c>
      <c r="I229" s="39">
        <f>I118*I13</f>
        <v/>
      </c>
      <c r="J229" s="39">
        <f>J118*J13</f>
        <v/>
      </c>
      <c r="K229" s="39">
        <f>K118*K13</f>
        <v/>
      </c>
      <c r="L229" s="39">
        <f>L118*L13</f>
        <v/>
      </c>
      <c r="M229" s="39">
        <f>M118*M13</f>
        <v/>
      </c>
      <c r="N229" s="39">
        <f>N118*N13</f>
        <v/>
      </c>
      <c r="O229" s="39">
        <f>O118*O13</f>
        <v/>
      </c>
      <c r="P229" s="39">
        <f>P118*P13</f>
        <v/>
      </c>
      <c r="R229" s="38" t="n">
        <v>679</v>
      </c>
      <c r="S229" s="38" t="n">
        <v>784</v>
      </c>
      <c r="T229" s="38" t="n">
        <v>1947</v>
      </c>
      <c r="U229" s="39">
        <f>H229+I229+J229+K229</f>
        <v/>
      </c>
      <c r="V229" s="39">
        <f>L229+M229+N229+O229</f>
        <v/>
      </c>
      <c r="W229" s="39">
        <f>W118*W13</f>
        <v/>
      </c>
      <c r="X229" s="39">
        <f>X118*X13</f>
        <v/>
      </c>
      <c r="Y229" s="39">
        <f>Y118*Y13</f>
        <v/>
      </c>
    </row>
    <row r="230">
      <c r="D230" s="9" t="inlineStr">
        <is>
          <t>Intangible Asset Impairment</t>
        </is>
      </c>
      <c r="G230" s="44" t="n"/>
      <c r="H230" s="44" t="n"/>
      <c r="I230" s="38" t="n">
        <v>0</v>
      </c>
      <c r="J230" s="38" t="n">
        <v>0</v>
      </c>
      <c r="K230" s="38" t="n">
        <v>0</v>
      </c>
      <c r="L230" s="38" t="n">
        <v>0</v>
      </c>
      <c r="M230" s="38" t="n">
        <v>0</v>
      </c>
      <c r="N230" s="38" t="n">
        <v>0</v>
      </c>
      <c r="O230" s="38" t="n">
        <v>0</v>
      </c>
      <c r="P230" s="38" t="n">
        <v>0</v>
      </c>
      <c r="R230" s="38" t="n">
        <v>3775</v>
      </c>
      <c r="S230" s="38" t="n">
        <v>0</v>
      </c>
      <c r="T230" s="38" t="n">
        <v>0</v>
      </c>
      <c r="U230" s="39">
        <f>H230+I230+J230+K230</f>
        <v/>
      </c>
      <c r="V230" s="39">
        <f>L230+M230+N230+O230</f>
        <v/>
      </c>
      <c r="W230" s="38" t="n">
        <v>0</v>
      </c>
      <c r="X230" s="38" t="n">
        <v>0</v>
      </c>
      <c r="Y230" s="38" t="n">
        <v>0</v>
      </c>
    </row>
    <row r="231">
      <c r="D231" s="9" t="inlineStr">
        <is>
          <t>Deferred Income Taxes</t>
        </is>
      </c>
      <c r="G231" s="44" t="n"/>
      <c r="H231" s="44" t="n"/>
      <c r="I231" s="38" t="n">
        <v>0</v>
      </c>
      <c r="J231" s="38" t="n">
        <v>0</v>
      </c>
      <c r="K231" s="38" t="n">
        <v>0</v>
      </c>
      <c r="L231" s="38" t="n">
        <v>0</v>
      </c>
      <c r="M231" s="38" t="n">
        <v>0</v>
      </c>
      <c r="N231" s="38" t="n">
        <v>0</v>
      </c>
      <c r="O231" s="38" t="n">
        <v>0</v>
      </c>
      <c r="P231" s="38" t="n">
        <v>0</v>
      </c>
      <c r="R231" s="38" t="n">
        <v>-409</v>
      </c>
      <c r="S231" s="38" t="n">
        <v>-675</v>
      </c>
      <c r="T231" s="38" t="n">
        <v>626</v>
      </c>
      <c r="U231" s="39">
        <f>H231+I231+J231+K231</f>
        <v/>
      </c>
      <c r="V231" s="39">
        <f>L231+M231+N231+O231</f>
        <v/>
      </c>
      <c r="W231" s="38" t="n">
        <v>0</v>
      </c>
      <c r="X231" s="38" t="n">
        <v>0</v>
      </c>
      <c r="Y231" s="38" t="n">
        <v>0</v>
      </c>
    </row>
    <row r="232">
      <c r="D232" s="9" t="inlineStr">
        <is>
          <t>Unrealized (Gain) Loss on Digital Assets</t>
        </is>
      </c>
      <c r="G232" s="38" t="n">
        <v>188</v>
      </c>
      <c r="H232" s="38" t="n">
        <v>344</v>
      </c>
      <c r="I232" s="38" t="n">
        <v>0</v>
      </c>
      <c r="J232" s="38" t="n">
        <v>0</v>
      </c>
      <c r="K232" s="38" t="n">
        <v>0</v>
      </c>
      <c r="L232" s="38" t="n">
        <v>0</v>
      </c>
      <c r="M232" s="38" t="n">
        <v>0</v>
      </c>
      <c r="N232" s="38" t="n">
        <v>0</v>
      </c>
      <c r="O232" s="38" t="n">
        <v>0</v>
      </c>
      <c r="P232" s="38" t="n">
        <v>0</v>
      </c>
      <c r="R232" s="38" t="n">
        <v>0</v>
      </c>
      <c r="S232" s="38" t="n">
        <v>-955</v>
      </c>
      <c r="T232" s="38" t="n">
        <v>112</v>
      </c>
      <c r="U232" s="39">
        <f>H232+I232+J232+K232</f>
        <v/>
      </c>
      <c r="V232" s="39">
        <f>L232+M232+N232+O232</f>
        <v/>
      </c>
      <c r="W232" s="38" t="n">
        <v>0</v>
      </c>
      <c r="X232" s="38" t="n">
        <v>0</v>
      </c>
      <c r="Y232" s="38" t="n">
        <v>0</v>
      </c>
    </row>
    <row r="233">
      <c r="D233" s="9" t="inlineStr">
        <is>
          <t>Impairment &amp; Loss on Disposal of Fixed Assets</t>
        </is>
      </c>
      <c r="G233" s="38" t="n">
        <v>32</v>
      </c>
      <c r="H233" s="38" t="n">
        <v>5</v>
      </c>
      <c r="I233" s="38" t="n">
        <v>0</v>
      </c>
      <c r="J233" s="38" t="n">
        <v>0</v>
      </c>
      <c r="K233" s="38" t="n">
        <v>0</v>
      </c>
      <c r="L233" s="38" t="n">
        <v>0</v>
      </c>
      <c r="M233" s="38" t="n">
        <v>0</v>
      </c>
      <c r="N233" s="38" t="n">
        <v>0</v>
      </c>
      <c r="O233" s="38" t="n">
        <v>0</v>
      </c>
      <c r="P233" s="38" t="n">
        <v>0</v>
      </c>
      <c r="R233" s="38" t="n">
        <v>36</v>
      </c>
      <c r="S233" s="38" t="n">
        <v>135</v>
      </c>
      <c r="T233" s="38" t="n">
        <v>88</v>
      </c>
      <c r="U233" s="39">
        <f>H233+I233+J233+K233</f>
        <v/>
      </c>
      <c r="V233" s="39">
        <f>L233+M233+N233+O233</f>
        <v/>
      </c>
      <c r="W233" s="38" t="n">
        <v>0</v>
      </c>
      <c r="X233" s="38" t="n">
        <v>0</v>
      </c>
      <c r="Y233" s="38" t="n">
        <v>0</v>
      </c>
    </row>
    <row r="234">
      <c r="D234" s="9" t="inlineStr">
        <is>
          <t>Amortization of Debt Discount &amp; Issuance Costs</t>
        </is>
      </c>
      <c r="G234" s="38" t="n">
        <v>18</v>
      </c>
      <c r="H234" s="38" t="n">
        <v>19</v>
      </c>
      <c r="I234" s="38" t="n">
        <v>0</v>
      </c>
      <c r="J234" s="38" t="n">
        <v>0</v>
      </c>
      <c r="K234" s="38" t="n">
        <v>0</v>
      </c>
      <c r="L234" s="38" t="n">
        <v>0</v>
      </c>
      <c r="M234" s="38" t="n">
        <v>0</v>
      </c>
      <c r="N234" s="38" t="n">
        <v>0</v>
      </c>
      <c r="O234" s="38" t="n">
        <v>0</v>
      </c>
      <c r="P234" s="38" t="n">
        <v>0</v>
      </c>
      <c r="R234" s="38" t="n">
        <v>212</v>
      </c>
      <c r="S234" s="38" t="n">
        <v>84</v>
      </c>
      <c r="T234" s="38" t="n">
        <v>93</v>
      </c>
      <c r="U234" s="39">
        <f>H234+I234+J234+K234</f>
        <v/>
      </c>
      <c r="V234" s="39">
        <f>L234+M234+N234+O234</f>
        <v/>
      </c>
      <c r="W234" s="38" t="n">
        <v>0</v>
      </c>
      <c r="X234" s="38" t="n">
        <v>0</v>
      </c>
      <c r="Y234" s="38" t="n">
        <v>0</v>
      </c>
    </row>
    <row r="235">
      <c r="D235" s="9" t="inlineStr">
        <is>
          <t>Loss on Debt Extinguishment</t>
        </is>
      </c>
      <c r="G235" s="38" t="n">
        <v>0</v>
      </c>
      <c r="H235" s="38" t="n">
        <v>1526</v>
      </c>
      <c r="I235" s="38" t="n">
        <v>0</v>
      </c>
      <c r="J235" s="38" t="n">
        <v>0</v>
      </c>
      <c r="K235" s="38" t="n">
        <v>0</v>
      </c>
      <c r="L235" s="38" t="n">
        <v>0</v>
      </c>
      <c r="M235" s="38" t="n">
        <v>0</v>
      </c>
      <c r="N235" s="38" t="n">
        <v>0</v>
      </c>
      <c r="O235" s="38" t="n">
        <v>0</v>
      </c>
      <c r="P235" s="38" t="n">
        <v>0</v>
      </c>
      <c r="R235" s="44" t="n"/>
      <c r="S235" s="44" t="n"/>
      <c r="T235" s="44" t="n"/>
      <c r="U235" s="39">
        <f>H235+I235+J235+K235</f>
        <v/>
      </c>
      <c r="V235" s="39">
        <f>L235+M235+N235+O235</f>
        <v/>
      </c>
      <c r="W235" s="38" t="n">
        <v>0</v>
      </c>
      <c r="X235" s="38" t="n">
        <v>0</v>
      </c>
      <c r="Y235" s="38" t="n">
        <v>0</v>
      </c>
    </row>
    <row r="236">
      <c r="D236" s="9" t="inlineStr">
        <is>
          <t>Other Non-Cash Items</t>
        </is>
      </c>
      <c r="G236" s="38" t="n">
        <v>31</v>
      </c>
      <c r="H236" s="38" t="n">
        <v>-26</v>
      </c>
      <c r="I236" s="38" t="n">
        <v>0</v>
      </c>
      <c r="J236" s="38" t="n">
        <v>0</v>
      </c>
      <c r="K236" s="38" t="n">
        <v>0</v>
      </c>
      <c r="L236" s="38" t="n">
        <v>0</v>
      </c>
      <c r="M236" s="38" t="n">
        <v>0</v>
      </c>
      <c r="N236" s="38" t="n">
        <v>0</v>
      </c>
      <c r="O236" s="38" t="n">
        <v>0</v>
      </c>
      <c r="P236" s="38" t="n">
        <v>0</v>
      </c>
      <c r="R236" s="38" t="n">
        <v>214</v>
      </c>
      <c r="S236" s="38" t="n">
        <v>115</v>
      </c>
      <c r="T236" s="38" t="n">
        <v>66</v>
      </c>
      <c r="U236" s="39">
        <f>H236+I236+J236+K236</f>
        <v/>
      </c>
      <c r="V236" s="39">
        <f>L236+M236+N236+O236</f>
        <v/>
      </c>
      <c r="W236" s="38" t="n">
        <v>0</v>
      </c>
      <c r="X236" s="38" t="n">
        <v>0</v>
      </c>
      <c r="Y236" s="38" t="n">
        <v>0</v>
      </c>
    </row>
    <row r="237"/>
    <row r="238">
      <c r="D238" s="9" t="inlineStr">
        <is>
          <t>Δ Accounts Receivable</t>
        </is>
      </c>
      <c r="G238" s="35" t="n">
        <v>-197</v>
      </c>
      <c r="H238" s="35" t="n">
        <v>-218</v>
      </c>
      <c r="I238" s="36">
        <f>H130-I130</f>
        <v/>
      </c>
      <c r="J238" s="36">
        <f>I130-J130</f>
        <v/>
      </c>
      <c r="K238" s="36">
        <f>J130-K130</f>
        <v/>
      </c>
      <c r="L238" s="36">
        <f>K130-L130</f>
        <v/>
      </c>
      <c r="M238" s="36">
        <f>L130-M130</f>
        <v/>
      </c>
      <c r="N238" s="36">
        <f>M130-N130</f>
        <v/>
      </c>
      <c r="O238" s="36">
        <f>N130-O130</f>
        <v/>
      </c>
      <c r="P238" s="36">
        <f>O130-P130</f>
        <v/>
      </c>
      <c r="R238" s="35" t="n">
        <v>345</v>
      </c>
      <c r="S238" s="35" t="n">
        <v>-347</v>
      </c>
      <c r="T238" s="35" t="n">
        <v>-543</v>
      </c>
      <c r="U238" s="36">
        <f>H238+I238+J238+K238</f>
        <v/>
      </c>
      <c r="V238" s="36">
        <f>L238+M238+N238+O238</f>
        <v/>
      </c>
      <c r="W238" s="36">
        <f>V130-W130</f>
        <v/>
      </c>
      <c r="X238" s="36">
        <f>W130-X130</f>
        <v/>
      </c>
      <c r="Y238" s="36">
        <f>X130-Y130</f>
        <v/>
      </c>
    </row>
    <row r="239">
      <c r="D239" s="9" t="inlineStr">
        <is>
          <t>Δ Inventory</t>
        </is>
      </c>
      <c r="G239" s="38" t="n">
        <v>-322</v>
      </c>
      <c r="H239" s="38" t="n">
        <v>-384</v>
      </c>
      <c r="I239" s="39">
        <f>H131-I131</f>
        <v/>
      </c>
      <c r="J239" s="39">
        <f>I131-J131</f>
        <v/>
      </c>
      <c r="K239" s="39">
        <f>J131-K131</f>
        <v/>
      </c>
      <c r="L239" s="39">
        <f>K131-L131</f>
        <v/>
      </c>
      <c r="M239" s="39">
        <f>L131-M131</f>
        <v/>
      </c>
      <c r="N239" s="39">
        <f>M131-N131</f>
        <v/>
      </c>
      <c r="O239" s="39">
        <f>N131-O131</f>
        <v/>
      </c>
      <c r="P239" s="39">
        <f>O131-P131</f>
        <v/>
      </c>
      <c r="R239" s="38" t="n">
        <v>-72</v>
      </c>
      <c r="S239" s="38" t="n">
        <v>-309</v>
      </c>
      <c r="T239" s="38" t="n">
        <v>-413</v>
      </c>
      <c r="U239" s="39">
        <f>H239+I239+J239+K239</f>
        <v/>
      </c>
      <c r="V239" s="39">
        <f>L239+M239+N239+O239</f>
        <v/>
      </c>
      <c r="W239" s="39">
        <f>V131-W131</f>
        <v/>
      </c>
      <c r="X239" s="39">
        <f>W131-X131</f>
        <v/>
      </c>
      <c r="Y239" s="39">
        <f>X131-Y131</f>
        <v/>
      </c>
    </row>
    <row r="240">
      <c r="D240" s="9" t="inlineStr">
        <is>
          <t>Δ Prepaid Expenses &amp; Other Assets</t>
        </is>
      </c>
      <c r="G240" s="38" t="n">
        <v>-88</v>
      </c>
      <c r="H240" s="38" t="n">
        <v>-74</v>
      </c>
      <c r="I240" s="39">
        <f>H132-I132</f>
        <v/>
      </c>
      <c r="J240" s="39">
        <f>I132-J132</f>
        <v/>
      </c>
      <c r="K240" s="39">
        <f>J132-K132</f>
        <v/>
      </c>
      <c r="L240" s="39">
        <f>K132-L132</f>
        <v/>
      </c>
      <c r="M240" s="39">
        <f>L132-M132</f>
        <v/>
      </c>
      <c r="N240" s="39">
        <f>M132-N132</f>
        <v/>
      </c>
      <c r="O240" s="39">
        <f>N132-O132</f>
        <v/>
      </c>
      <c r="P240" s="39">
        <f>O132-P132</f>
        <v/>
      </c>
      <c r="R240" s="38" t="n">
        <v>41</v>
      </c>
      <c r="S240" s="38" t="n">
        <v>-328</v>
      </c>
      <c r="T240" s="38" t="n">
        <v>-673</v>
      </c>
      <c r="U240" s="39">
        <f>H240+I240+J240+K240</f>
        <v/>
      </c>
      <c r="V240" s="39">
        <f>L240+M240+N240+O240</f>
        <v/>
      </c>
      <c r="W240" s="39">
        <f>V132-W132</f>
        <v/>
      </c>
      <c r="X240" s="39">
        <f>W132-X132</f>
        <v/>
      </c>
      <c r="Y240" s="39">
        <f>X132-Y132</f>
        <v/>
      </c>
    </row>
    <row r="241">
      <c r="D241" s="9" t="inlineStr">
        <is>
          <t>Δ Accounts Payable</t>
        </is>
      </c>
      <c r="G241" s="38" t="n">
        <v>93</v>
      </c>
      <c r="H241" s="38" t="n">
        <v>-528</v>
      </c>
      <c r="I241" s="39">
        <f>I146-H146</f>
        <v/>
      </c>
      <c r="J241" s="39">
        <f>J146-I146</f>
        <v/>
      </c>
      <c r="K241" s="39">
        <f>K146-J146</f>
        <v/>
      </c>
      <c r="L241" s="39">
        <f>L146-K146</f>
        <v/>
      </c>
      <c r="M241" s="39">
        <f>M146-L146</f>
        <v/>
      </c>
      <c r="N241" s="39">
        <f>N146-M146</f>
        <v/>
      </c>
      <c r="O241" s="39">
        <f>O146-N146</f>
        <v/>
      </c>
      <c r="P241" s="39">
        <f>P146-O146</f>
        <v/>
      </c>
      <c r="R241" s="38" t="n">
        <v>220</v>
      </c>
      <c r="S241" s="38" t="n">
        <v>472</v>
      </c>
      <c r="T241" s="38" t="n">
        <v>709</v>
      </c>
      <c r="U241" s="39">
        <f>H241+I241+J241+K241</f>
        <v/>
      </c>
      <c r="V241" s="39">
        <f>L241+M241+N241+O241</f>
        <v/>
      </c>
      <c r="W241" s="39">
        <f>W146-V146</f>
        <v/>
      </c>
      <c r="X241" s="39">
        <f>X146-W146</f>
        <v/>
      </c>
      <c r="Y241" s="39">
        <f>Y146-X146</f>
        <v/>
      </c>
    </row>
    <row r="242">
      <c r="D242" s="9" t="inlineStr">
        <is>
          <t>Δ Deferred Revenue</t>
        </is>
      </c>
      <c r="G242" s="38" t="n">
        <v>-34</v>
      </c>
      <c r="H242" s="38" t="n">
        <v>1119</v>
      </c>
      <c r="I242" s="39">
        <f>I147-H147+I153-H153</f>
        <v/>
      </c>
      <c r="J242" s="39">
        <f>J147-I147+J153-I153</f>
        <v/>
      </c>
      <c r="K242" s="39">
        <f>K147-J147+K153-J153</f>
        <v/>
      </c>
      <c r="L242" s="39">
        <f>L147-K147+L153-K153</f>
        <v/>
      </c>
      <c r="M242" s="39">
        <f>M147-L147+M153-L153</f>
        <v/>
      </c>
      <c r="N242" s="39">
        <f>N147-M147+N153-M153</f>
        <v/>
      </c>
      <c r="O242" s="39">
        <f>O147-N147+O153-N153</f>
        <v/>
      </c>
      <c r="P242" s="39">
        <f>P147-O147+P153-O153</f>
        <v/>
      </c>
      <c r="R242" s="38" t="n">
        <v>1695</v>
      </c>
      <c r="S242" s="38" t="n">
        <v>1876</v>
      </c>
      <c r="T242" s="38" t="n">
        <v>1929</v>
      </c>
      <c r="U242" s="39">
        <f>H242+I242+J242+K242</f>
        <v/>
      </c>
      <c r="V242" s="39">
        <f>L242+M242+N242+O242</f>
        <v/>
      </c>
      <c r="W242" s="39">
        <f>W147-V147+W153-V153</f>
        <v/>
      </c>
      <c r="X242" s="39">
        <f>X147-W147+X153-W153</f>
        <v/>
      </c>
      <c r="Y242" s="39">
        <f>Y147-X147+Y153-X153</f>
        <v/>
      </c>
    </row>
    <row r="243">
      <c r="D243" s="9" t="inlineStr">
        <is>
          <t>Δ Operating Lease Liabilities, net</t>
        </is>
      </c>
      <c r="G243" s="38" t="n">
        <v>-1</v>
      </c>
      <c r="H243" s="38" t="n">
        <v>-5</v>
      </c>
      <c r="I243" s="38" t="n">
        <v>0</v>
      </c>
      <c r="J243" s="38" t="n">
        <v>0</v>
      </c>
      <c r="K243" s="38" t="n">
        <v>0</v>
      </c>
      <c r="L243" s="38" t="n">
        <v>0</v>
      </c>
      <c r="M243" s="38" t="n">
        <v>0</v>
      </c>
      <c r="N243" s="38" t="n">
        <v>0</v>
      </c>
      <c r="O243" s="38" t="n">
        <v>0</v>
      </c>
      <c r="P243" s="38" t="n">
        <v>0</v>
      </c>
      <c r="R243" s="38" t="n">
        <v>-15</v>
      </c>
      <c r="S243" s="38" t="n">
        <v>-37</v>
      </c>
      <c r="T243" s="38" t="n">
        <v>-56</v>
      </c>
      <c r="U243" s="39">
        <f>H243+I243+J243+K243</f>
        <v/>
      </c>
      <c r="V243" s="39">
        <f>L243+M243+N243+O243</f>
        <v/>
      </c>
      <c r="W243" s="38" t="n">
        <v>0</v>
      </c>
      <c r="X243" s="38" t="n">
        <v>0</v>
      </c>
      <c r="Y243" s="38" t="n">
        <v>0</v>
      </c>
    </row>
    <row r="244">
      <c r="D244" s="9" t="inlineStr">
        <is>
          <t>Δ Other Liabilities</t>
        </is>
      </c>
      <c r="G244" s="38" t="n">
        <v>-140</v>
      </c>
      <c r="H244" s="38" t="n">
        <v>464</v>
      </c>
      <c r="I244" s="39">
        <f>I149-H149+I155-H155</f>
        <v/>
      </c>
      <c r="J244" s="39">
        <f>J149-I149+J155-I155</f>
        <v/>
      </c>
      <c r="K244" s="39">
        <f>K149-J149+K155-J155</f>
        <v/>
      </c>
      <c r="L244" s="39">
        <f>L149-K149+L155-K155</f>
        <v/>
      </c>
      <c r="M244" s="39">
        <f>M149-L149+M155-L155</f>
        <v/>
      </c>
      <c r="N244" s="39">
        <f>N149-M149+N155-M155</f>
        <v/>
      </c>
      <c r="O244" s="39">
        <f>O149-N149+O155-N155</f>
        <v/>
      </c>
      <c r="P244" s="39">
        <f>P149-O149+P155-O155</f>
        <v/>
      </c>
      <c r="R244" s="38" t="n">
        <v>-208</v>
      </c>
      <c r="S244" s="38" t="n">
        <v>346</v>
      </c>
      <c r="T244" s="38" t="n">
        <v>1136</v>
      </c>
      <c r="U244" s="39">
        <f>H244+I244+J244+K244</f>
        <v/>
      </c>
      <c r="V244" s="39">
        <f>L244+M244+N244+O244</f>
        <v/>
      </c>
      <c r="W244" s="39">
        <f>W149-V149+W155-V155</f>
        <v/>
      </c>
      <c r="X244" s="39">
        <f>X149-W149+X155-W155</f>
        <v/>
      </c>
      <c r="Y244" s="39">
        <f>Y149-X149+Y155-X155</f>
        <v/>
      </c>
    </row>
    <row r="245">
      <c r="A245" s="12" t="inlineStr">
        <is>
          <t>x</t>
        </is>
      </c>
      <c r="B245" s="13" t="inlineStr">
        <is>
          <t>Net Cash Provided by Operating Activities</t>
        </is>
      </c>
      <c r="G245" s="40">
        <f>SUM(G227:G244)</f>
        <v/>
      </c>
      <c r="H245" s="40">
        <f>SUM(H227:H244)</f>
        <v/>
      </c>
      <c r="I245" s="40">
        <f>SUM(I227:I244)</f>
        <v/>
      </c>
      <c r="J245" s="40">
        <f>SUM(J227:J244)</f>
        <v/>
      </c>
      <c r="K245" s="40">
        <f>SUM(K227:K244)</f>
        <v/>
      </c>
      <c r="L245" s="40">
        <f>SUM(L227:L244)</f>
        <v/>
      </c>
      <c r="M245" s="40">
        <f>SUM(M227:M244)</f>
        <v/>
      </c>
      <c r="N245" s="40">
        <f>SUM(N227:N244)</f>
        <v/>
      </c>
      <c r="O245" s="40">
        <f>SUM(O227:O244)</f>
        <v/>
      </c>
      <c r="P245" s="40">
        <f>SUM(P227:P244)</f>
        <v/>
      </c>
      <c r="R245" s="40">
        <f>SUM(R227:R244)</f>
        <v/>
      </c>
      <c r="S245" s="40">
        <f>SUM(S227:S244)</f>
        <v/>
      </c>
      <c r="T245" s="40">
        <f>SUM(T227:T244)</f>
        <v/>
      </c>
      <c r="U245" s="40">
        <f>SUM(U227:U244)</f>
        <v/>
      </c>
      <c r="V245" s="40">
        <f>SUM(V227:V244)</f>
        <v/>
      </c>
      <c r="W245" s="40">
        <f>SUM(W227:W244)</f>
        <v/>
      </c>
      <c r="X245" s="40">
        <f>SUM(X227:X244)</f>
        <v/>
      </c>
      <c r="Y245" s="40">
        <f>SUM(Y227:Y244)</f>
        <v/>
      </c>
    </row>
    <row r="246">
      <c r="D246" s="8" t="inlineStr">
        <is>
          <t>Reconciliation: variance vs. as-reported</t>
        </is>
      </c>
      <c r="G246" s="41">
        <f>IF(_reported!G31="","",G245-_reported!G31)</f>
        <v/>
      </c>
      <c r="H246" s="41">
        <f>IF(_reported!H31="","",H245-_reported!H31)</f>
        <v/>
      </c>
      <c r="R246" s="41">
        <f>IF(_reported!R31="","",R245-_reported!R31)</f>
        <v/>
      </c>
      <c r="S246" s="41">
        <f>IF(_reported!S31="","",S245-_reported!S31)</f>
        <v/>
      </c>
      <c r="T246" s="41">
        <f>IF(_reported!T31="","",T245-_reported!T31)</f>
        <v/>
      </c>
    </row>
    <row r="247"/>
    <row r="248">
      <c r="D248" s="9" t="inlineStr">
        <is>
          <t>Purchases of Property, Plant &amp; Equipment</t>
        </is>
      </c>
      <c r="G248" s="35" t="n">
        <v>-4140</v>
      </c>
      <c r="H248" s="35" t="n">
        <v>-10107</v>
      </c>
      <c r="I248" s="36">
        <f>-I119*I13</f>
        <v/>
      </c>
      <c r="J248" s="36">
        <f>-J119*J13</f>
        <v/>
      </c>
      <c r="K248" s="36">
        <f>-K119*K13</f>
        <v/>
      </c>
      <c r="L248" s="36">
        <f>-L119*L13</f>
        <v/>
      </c>
      <c r="M248" s="36">
        <f>-M119*M13</f>
        <v/>
      </c>
      <c r="N248" s="36">
        <f>-N119*N13</f>
        <v/>
      </c>
      <c r="O248" s="36">
        <f>-O119*O13</f>
        <v/>
      </c>
      <c r="P248" s="36">
        <f>-P119*P13</f>
        <v/>
      </c>
      <c r="R248" s="35" t="n">
        <v>-4415</v>
      </c>
      <c r="S248" s="35" t="n">
        <v>-11163</v>
      </c>
      <c r="T248" s="35" t="n">
        <v>-20737</v>
      </c>
      <c r="U248" s="36">
        <f>H248+I248+J248+K248</f>
        <v/>
      </c>
      <c r="V248" s="36">
        <f>L248+M248+N248+O248</f>
        <v/>
      </c>
      <c r="W248" s="36">
        <f>-W119*W13</f>
        <v/>
      </c>
      <c r="X248" s="36">
        <f>-X119*X13</f>
        <v/>
      </c>
      <c r="Y248" s="36">
        <f>-Y119*Y13</f>
        <v/>
      </c>
    </row>
    <row r="249">
      <c r="D249" s="9" t="inlineStr">
        <is>
          <t>Capitalized Interest</t>
        </is>
      </c>
      <c r="G249" s="38" t="n">
        <v>0</v>
      </c>
      <c r="H249" s="38" t="n">
        <v>-7</v>
      </c>
      <c r="I249" s="38" t="n">
        <v>0</v>
      </c>
      <c r="J249" s="38" t="n">
        <v>0</v>
      </c>
      <c r="K249" s="38" t="n">
        <v>0</v>
      </c>
      <c r="L249" s="38" t="n">
        <v>0</v>
      </c>
      <c r="M249" s="38" t="n">
        <v>0</v>
      </c>
      <c r="N249" s="38" t="n">
        <v>0</v>
      </c>
      <c r="O249" s="38" t="n">
        <v>0</v>
      </c>
      <c r="P249" s="38" t="n">
        <v>0</v>
      </c>
      <c r="R249" s="38" t="n">
        <v>0</v>
      </c>
      <c r="S249" s="38" t="n">
        <v>0</v>
      </c>
      <c r="T249" s="38" t="n">
        <v>-169</v>
      </c>
      <c r="U249" s="39">
        <f>H249+I249+J249+K249</f>
        <v/>
      </c>
      <c r="V249" s="39">
        <f>L249+M249+N249+O249</f>
        <v/>
      </c>
      <c r="W249" s="38" t="n">
        <v>0</v>
      </c>
      <c r="X249" s="38" t="n">
        <v>0</v>
      </c>
      <c r="Y249" s="38" t="n">
        <v>0</v>
      </c>
    </row>
    <row r="250">
      <c r="D250" s="9" t="inlineStr">
        <is>
          <t>Proceeds from Product Rebates</t>
        </is>
      </c>
      <c r="G250" s="38" t="n">
        <v>0</v>
      </c>
      <c r="H250" s="38" t="n">
        <v>1195</v>
      </c>
      <c r="I250" s="38" t="n">
        <v>0</v>
      </c>
      <c r="J250" s="38" t="n">
        <v>0</v>
      </c>
      <c r="K250" s="38" t="n">
        <v>0</v>
      </c>
      <c r="L250" s="38" t="n">
        <v>0</v>
      </c>
      <c r="M250" s="38" t="n">
        <v>0</v>
      </c>
      <c r="N250" s="38" t="n">
        <v>0</v>
      </c>
      <c r="O250" s="38" t="n">
        <v>0</v>
      </c>
      <c r="P250" s="38" t="n">
        <v>0</v>
      </c>
      <c r="R250" s="38" t="n">
        <v>0</v>
      </c>
      <c r="S250" s="38" t="n">
        <v>0</v>
      </c>
      <c r="T250" s="38" t="n">
        <v>118</v>
      </c>
      <c r="U250" s="39">
        <f>H250+I250+J250+K250</f>
        <v/>
      </c>
      <c r="V250" s="39">
        <f>L250+M250+N250+O250</f>
        <v/>
      </c>
      <c r="W250" s="38" t="n">
        <v>0</v>
      </c>
      <c r="X250" s="38" t="n">
        <v>0</v>
      </c>
      <c r="Y250" s="38" t="n">
        <v>0</v>
      </c>
    </row>
    <row r="251">
      <c r="D251" s="9" t="inlineStr">
        <is>
          <t>Purchases of Marketable Securities</t>
        </is>
      </c>
      <c r="G251" s="38" t="n">
        <v>-312</v>
      </c>
      <c r="H251" s="38" t="n">
        <v>-7801</v>
      </c>
      <c r="I251" s="38" t="n">
        <v>0</v>
      </c>
      <c r="J251" s="38" t="n">
        <v>0</v>
      </c>
      <c r="K251" s="38" t="n">
        <v>0</v>
      </c>
      <c r="L251" s="38" t="n">
        <v>0</v>
      </c>
      <c r="M251" s="38" t="n">
        <v>0</v>
      </c>
      <c r="N251" s="38" t="n">
        <v>0</v>
      </c>
      <c r="O251" s="38" t="n">
        <v>0</v>
      </c>
      <c r="P251" s="38" t="n">
        <v>0</v>
      </c>
      <c r="R251" s="38" t="n">
        <v>-3535</v>
      </c>
      <c r="S251" s="38" t="n">
        <v>-3542</v>
      </c>
      <c r="T251" s="38" t="n">
        <v>-611</v>
      </c>
      <c r="U251" s="39">
        <f>H251+I251+J251+K251</f>
        <v/>
      </c>
      <c r="V251" s="39">
        <f>L251+M251+N251+O251</f>
        <v/>
      </c>
      <c r="W251" s="38" t="n">
        <v>0</v>
      </c>
      <c r="X251" s="38" t="n">
        <v>0</v>
      </c>
      <c r="Y251" s="38" t="n">
        <v>0</v>
      </c>
    </row>
    <row r="252">
      <c r="D252" s="9" t="inlineStr">
        <is>
          <t>Maturities of Marketable Securities</t>
        </is>
      </c>
      <c r="G252" s="38" t="n">
        <v>289</v>
      </c>
      <c r="H252" s="38" t="n">
        <v>0</v>
      </c>
      <c r="I252" s="38" t="n">
        <v>0</v>
      </c>
      <c r="J252" s="38" t="n">
        <v>0</v>
      </c>
      <c r="K252" s="38" t="n">
        <v>0</v>
      </c>
      <c r="L252" s="38" t="n">
        <v>0</v>
      </c>
      <c r="M252" s="38" t="n">
        <v>0</v>
      </c>
      <c r="N252" s="38" t="n">
        <v>0</v>
      </c>
      <c r="O252" s="38" t="n">
        <v>0</v>
      </c>
      <c r="P252" s="38" t="n">
        <v>0</v>
      </c>
      <c r="R252" s="38" t="n">
        <v>2731</v>
      </c>
      <c r="S252" s="38" t="n">
        <v>3712</v>
      </c>
      <c r="T252" s="38" t="n">
        <v>548</v>
      </c>
      <c r="U252" s="39">
        <f>H252+I252+J252+K252</f>
        <v/>
      </c>
      <c r="V252" s="39">
        <f>L252+M252+N252+O252</f>
        <v/>
      </c>
      <c r="W252" s="38" t="n">
        <v>0</v>
      </c>
      <c r="X252" s="38" t="n">
        <v>0</v>
      </c>
      <c r="Y252" s="38" t="n">
        <v>0</v>
      </c>
    </row>
    <row r="253">
      <c r="D253" s="9" t="inlineStr">
        <is>
          <t>Proceeds from Sales of Marketable Securities</t>
        </is>
      </c>
      <c r="G253" s="44" t="n"/>
      <c r="H253" s="44" t="n"/>
      <c r="I253" s="38" t="n">
        <v>0</v>
      </c>
      <c r="J253" s="38" t="n">
        <v>0</v>
      </c>
      <c r="K253" s="38" t="n">
        <v>0</v>
      </c>
      <c r="L253" s="38" t="n">
        <v>0</v>
      </c>
      <c r="M253" s="38" t="n">
        <v>0</v>
      </c>
      <c r="N253" s="38" t="n">
        <v>0</v>
      </c>
      <c r="O253" s="38" t="n">
        <v>0</v>
      </c>
      <c r="P253" s="38" t="n">
        <v>0</v>
      </c>
      <c r="R253" s="38" t="n">
        <v>333</v>
      </c>
      <c r="S253" s="38" t="n">
        <v>193</v>
      </c>
      <c r="T253" s="38" t="n">
        <v>1457</v>
      </c>
      <c r="U253" s="39">
        <f>H253+I253+J253+K253</f>
        <v/>
      </c>
      <c r="V253" s="39">
        <f>L253+M253+N253+O253</f>
        <v/>
      </c>
      <c r="W253" s="38" t="n">
        <v>0</v>
      </c>
      <c r="X253" s="38" t="n">
        <v>0</v>
      </c>
      <c r="Y253" s="38" t="n">
        <v>0</v>
      </c>
    </row>
    <row r="254">
      <c r="D254" s="9" t="inlineStr">
        <is>
          <t>Investments in Unconsolidated Affiliates</t>
        </is>
      </c>
      <c r="G254" s="44" t="n"/>
      <c r="H254" s="44" t="n"/>
      <c r="I254" s="38" t="n">
        <v>0</v>
      </c>
      <c r="J254" s="38" t="n">
        <v>0</v>
      </c>
      <c r="K254" s="38" t="n">
        <v>0</v>
      </c>
      <c r="L254" s="38" t="n">
        <v>0</v>
      </c>
      <c r="M254" s="38" t="n">
        <v>0</v>
      </c>
      <c r="N254" s="38" t="n">
        <v>0</v>
      </c>
      <c r="O254" s="38" t="n">
        <v>0</v>
      </c>
      <c r="P254" s="38" t="n">
        <v>0</v>
      </c>
      <c r="R254" s="38" t="n">
        <v>0</v>
      </c>
      <c r="S254" s="38" t="n">
        <v>0</v>
      </c>
      <c r="T254" s="38" t="n">
        <v>-86</v>
      </c>
      <c r="U254" s="39">
        <f>H254+I254+J254+K254</f>
        <v/>
      </c>
      <c r="V254" s="39">
        <f>L254+M254+N254+O254</f>
        <v/>
      </c>
      <c r="W254" s="38" t="n">
        <v>0</v>
      </c>
      <c r="X254" s="38" t="n">
        <v>0</v>
      </c>
      <c r="Y254" s="38" t="n">
        <v>0</v>
      </c>
    </row>
    <row r="255">
      <c r="D255" s="9" t="inlineStr">
        <is>
          <t>Other Investing Activities, net</t>
        </is>
      </c>
      <c r="G255" s="38" t="n">
        <v>-7</v>
      </c>
      <c r="H255" s="38" t="n">
        <v>-4</v>
      </c>
      <c r="I255" s="38" t="n">
        <v>0</v>
      </c>
      <c r="J255" s="38" t="n">
        <v>0</v>
      </c>
      <c r="K255" s="38" t="n">
        <v>0</v>
      </c>
      <c r="L255" s="38" t="n">
        <v>0</v>
      </c>
      <c r="M255" s="38" t="n">
        <v>0</v>
      </c>
      <c r="N255" s="38" t="n">
        <v>0</v>
      </c>
      <c r="O255" s="38" t="n">
        <v>0</v>
      </c>
      <c r="P255" s="38" t="n">
        <v>0</v>
      </c>
      <c r="R255" s="38" t="n">
        <v>19</v>
      </c>
      <c r="S255" s="38" t="n">
        <v>4</v>
      </c>
      <c r="T255" s="38" t="n">
        <v>-95</v>
      </c>
      <c r="U255" s="39">
        <f>H255+I255+J255+K255</f>
        <v/>
      </c>
      <c r="V255" s="39">
        <f>L255+M255+N255+O255</f>
        <v/>
      </c>
      <c r="W255" s="38" t="n">
        <v>0</v>
      </c>
      <c r="X255" s="38" t="n">
        <v>0</v>
      </c>
      <c r="Y255" s="38" t="n">
        <v>0</v>
      </c>
    </row>
    <row r="256">
      <c r="A256" s="12" t="inlineStr">
        <is>
          <t>x</t>
        </is>
      </c>
      <c r="B256" s="13" t="inlineStr">
        <is>
          <t>Net Cash Used in Investing Activities</t>
        </is>
      </c>
      <c r="G256" s="40">
        <f>SUM(G248:G255)</f>
        <v/>
      </c>
      <c r="H256" s="40">
        <f>SUM(H248:H255)</f>
        <v/>
      </c>
      <c r="I256" s="40">
        <f>SUM(I248:I255)</f>
        <v/>
      </c>
      <c r="J256" s="40">
        <f>SUM(J248:J255)</f>
        <v/>
      </c>
      <c r="K256" s="40">
        <f>SUM(K248:K255)</f>
        <v/>
      </c>
      <c r="L256" s="40">
        <f>SUM(L248:L255)</f>
        <v/>
      </c>
      <c r="M256" s="40">
        <f>SUM(M248:M255)</f>
        <v/>
      </c>
      <c r="N256" s="40">
        <f>SUM(N248:N255)</f>
        <v/>
      </c>
      <c r="O256" s="40">
        <f>SUM(O248:O255)</f>
        <v/>
      </c>
      <c r="P256" s="40">
        <f>SUM(P248:P255)</f>
        <v/>
      </c>
      <c r="R256" s="40">
        <f>SUM(R248:R255)</f>
        <v/>
      </c>
      <c r="S256" s="40">
        <f>SUM(S248:S255)</f>
        <v/>
      </c>
      <c r="T256" s="40">
        <f>SUM(T248:T255)</f>
        <v/>
      </c>
      <c r="U256" s="40">
        <f>SUM(U248:U255)</f>
        <v/>
      </c>
      <c r="V256" s="40">
        <f>SUM(V248:V255)</f>
        <v/>
      </c>
      <c r="W256" s="40">
        <f>SUM(W248:W255)</f>
        <v/>
      </c>
      <c r="X256" s="40">
        <f>SUM(X248:X255)</f>
        <v/>
      </c>
      <c r="Y256" s="40">
        <f>SUM(Y248:Y255)</f>
        <v/>
      </c>
    </row>
    <row r="257">
      <c r="D257" s="8" t="inlineStr">
        <is>
          <t>Reconciliation: variance vs. as-reported</t>
        </is>
      </c>
      <c r="G257" s="41">
        <f>IF(_reported!G32="","",G256-_reported!G32)</f>
        <v/>
      </c>
      <c r="H257" s="41">
        <f>IF(_reported!H32="","",H256-_reported!H32)</f>
        <v/>
      </c>
      <c r="R257" s="41">
        <f>IF(_reported!R32="","",R256-_reported!R32)</f>
        <v/>
      </c>
      <c r="S257" s="41">
        <f>IF(_reported!S32="","",S256-_reported!S32)</f>
        <v/>
      </c>
      <c r="T257" s="41">
        <f>IF(_reported!T32="","",T256-_reported!T32)</f>
        <v/>
      </c>
    </row>
    <row r="258"/>
    <row r="259">
      <c r="D259" s="9" t="inlineStr">
        <is>
          <t>Principal Repayments on Finance Leases</t>
        </is>
      </c>
      <c r="G259" s="35" t="n">
        <v>-66</v>
      </c>
      <c r="H259" s="35" t="n">
        <v>-82</v>
      </c>
      <c r="I259" s="35" t="n">
        <v>-85</v>
      </c>
      <c r="J259" s="35" t="n">
        <v>-85</v>
      </c>
      <c r="K259" s="35" t="n">
        <v>-85</v>
      </c>
      <c r="L259" s="35" t="n">
        <v>-85</v>
      </c>
      <c r="M259" s="35" t="n">
        <v>-85</v>
      </c>
      <c r="N259" s="35" t="n">
        <v>-85</v>
      </c>
      <c r="O259" s="35" t="n">
        <v>-85</v>
      </c>
      <c r="P259" s="35" t="n">
        <v>-85</v>
      </c>
      <c r="R259" s="35" t="n">
        <v>0</v>
      </c>
      <c r="S259" s="35" t="n">
        <v>-154</v>
      </c>
      <c r="T259" s="35" t="n">
        <v>-295</v>
      </c>
      <c r="U259" s="36">
        <f>H259+I259+J259+K259</f>
        <v/>
      </c>
      <c r="V259" s="36">
        <f>L259+M259+N259+O259</f>
        <v/>
      </c>
      <c r="W259" s="35" t="n">
        <v>-340</v>
      </c>
      <c r="X259" s="35" t="n">
        <v>-340</v>
      </c>
      <c r="Y259" s="35" t="n">
        <v>-340</v>
      </c>
    </row>
    <row r="260">
      <c r="D260" s="9" t="inlineStr">
        <is>
          <t>Proceeds from Debt &amp; Other Financing Obligations</t>
        </is>
      </c>
      <c r="G260" s="38" t="n">
        <v>4744</v>
      </c>
      <c r="H260" s="38" t="n">
        <v>22694</v>
      </c>
      <c r="I260" s="38" t="n">
        <v>25000</v>
      </c>
      <c r="J260" s="38" t="n">
        <v>0</v>
      </c>
      <c r="K260" s="38" t="n">
        <v>0</v>
      </c>
      <c r="L260" s="38" t="n">
        <v>0</v>
      </c>
      <c r="M260" s="38" t="n">
        <v>0</v>
      </c>
      <c r="N260" s="38" t="n">
        <v>0</v>
      </c>
      <c r="O260" s="38" t="n">
        <v>0</v>
      </c>
      <c r="P260" s="38" t="n">
        <v>0</v>
      </c>
      <c r="R260" s="38" t="n">
        <v>0</v>
      </c>
      <c r="S260" s="38" t="n">
        <v>0</v>
      </c>
      <c r="T260" s="38" t="n">
        <v>16055</v>
      </c>
      <c r="U260" s="39">
        <f>H260+I260+J260+K260</f>
        <v/>
      </c>
      <c r="V260" s="39">
        <f>L260+M260+N260+O260</f>
        <v/>
      </c>
      <c r="W260" s="38" t="n">
        <v>8000</v>
      </c>
      <c r="X260" s="38" t="n">
        <v>8000</v>
      </c>
      <c r="Y260" s="38" t="n">
        <v>6000</v>
      </c>
    </row>
    <row r="261">
      <c r="D261" s="9" t="inlineStr">
        <is>
          <t>Payment of Debt Issuance Costs</t>
        </is>
      </c>
      <c r="G261" s="38" t="n">
        <v>-3</v>
      </c>
      <c r="H261" s="38" t="n">
        <v>-23</v>
      </c>
      <c r="I261" s="38" t="n">
        <v>0</v>
      </c>
      <c r="J261" s="38" t="n">
        <v>0</v>
      </c>
      <c r="K261" s="38" t="n">
        <v>0</v>
      </c>
      <c r="L261" s="38" t="n">
        <v>0</v>
      </c>
      <c r="M261" s="38" t="n">
        <v>0</v>
      </c>
      <c r="N261" s="38" t="n">
        <v>0</v>
      </c>
      <c r="O261" s="38" t="n">
        <v>0</v>
      </c>
      <c r="P261" s="38" t="n">
        <v>0</v>
      </c>
      <c r="R261" s="38" t="n">
        <v>0</v>
      </c>
      <c r="S261" s="38" t="n">
        <v>0</v>
      </c>
      <c r="T261" s="38" t="n">
        <v>-66</v>
      </c>
      <c r="U261" s="39">
        <f>H261+I261+J261+K261</f>
        <v/>
      </c>
      <c r="V261" s="39">
        <f>L261+M261+N261+O261</f>
        <v/>
      </c>
      <c r="W261" s="38" t="n">
        <v>0</v>
      </c>
      <c r="X261" s="38" t="n">
        <v>0</v>
      </c>
      <c r="Y261" s="38" t="n">
        <v>0</v>
      </c>
    </row>
    <row r="262">
      <c r="D262" s="9" t="inlineStr">
        <is>
          <t>Repayments on Debt &amp; Other Financing Obligations</t>
        </is>
      </c>
      <c r="G262" s="38" t="n">
        <v>-4745</v>
      </c>
      <c r="H262" s="38" t="n">
        <v>-18295</v>
      </c>
      <c r="I262" s="38" t="n">
        <v>-20000</v>
      </c>
      <c r="J262" s="38" t="n">
        <v>0</v>
      </c>
      <c r="K262" s="38" t="n">
        <v>0</v>
      </c>
      <c r="L262" s="38" t="n">
        <v>0</v>
      </c>
      <c r="M262" s="38" t="n">
        <v>0</v>
      </c>
      <c r="N262" s="38" t="n">
        <v>0</v>
      </c>
      <c r="O262" s="38" t="n">
        <v>0</v>
      </c>
      <c r="P262" s="38" t="n">
        <v>0</v>
      </c>
      <c r="R262" s="38" t="n">
        <v>-112</v>
      </c>
      <c r="S262" s="38" t="n">
        <v>-77</v>
      </c>
      <c r="T262" s="38" t="n">
        <v>-6858</v>
      </c>
      <c r="U262" s="39">
        <f>H262+I262+J262+K262</f>
        <v/>
      </c>
      <c r="V262" s="39">
        <f>L262+M262+N262+O262</f>
        <v/>
      </c>
      <c r="W262" s="38" t="n">
        <v>0</v>
      </c>
      <c r="X262" s="38" t="n">
        <v>0</v>
      </c>
      <c r="Y262" s="38" t="n">
        <v>0</v>
      </c>
    </row>
    <row r="263">
      <c r="D263" s="9" t="inlineStr">
        <is>
          <t>Payment of Debt Extinguishment Premium</t>
        </is>
      </c>
      <c r="G263" s="38" t="n">
        <v>0</v>
      </c>
      <c r="H263" s="38" t="n">
        <v>-1153</v>
      </c>
      <c r="I263" s="38" t="n">
        <v>0</v>
      </c>
      <c r="J263" s="38" t="n">
        <v>0</v>
      </c>
      <c r="K263" s="38" t="n">
        <v>0</v>
      </c>
      <c r="L263" s="38" t="n">
        <v>0</v>
      </c>
      <c r="M263" s="38" t="n">
        <v>0</v>
      </c>
      <c r="N263" s="38" t="n">
        <v>0</v>
      </c>
      <c r="O263" s="38" t="n">
        <v>0</v>
      </c>
      <c r="P263" s="38" t="n">
        <v>0</v>
      </c>
      <c r="R263" s="44" t="n"/>
      <c r="S263" s="44" t="n"/>
      <c r="T263" s="44" t="n"/>
      <c r="U263" s="39">
        <f>H263+I263+J263+K263</f>
        <v/>
      </c>
      <c r="V263" s="39">
        <f>L263+M263+N263+O263</f>
        <v/>
      </c>
      <c r="W263" s="38" t="n">
        <v>0</v>
      </c>
      <c r="X263" s="38" t="n">
        <v>0</v>
      </c>
      <c r="Y263" s="38" t="n">
        <v>0</v>
      </c>
    </row>
    <row r="264">
      <c r="D264" s="9" t="inlineStr">
        <is>
          <t>Proceeds from Issuance of Capital Stock, net</t>
        </is>
      </c>
      <c r="G264" s="38" t="n">
        <v>899</v>
      </c>
      <c r="H264" s="38" t="n">
        <v>8319</v>
      </c>
      <c r="I264" s="38" t="n">
        <v>74448</v>
      </c>
      <c r="J264" s="38" t="n">
        <v>0</v>
      </c>
      <c r="K264" s="38" t="n">
        <v>0</v>
      </c>
      <c r="L264" s="38" t="n">
        <v>0</v>
      </c>
      <c r="M264" s="38" t="n">
        <v>0</v>
      </c>
      <c r="N264" s="38" t="n">
        <v>0</v>
      </c>
      <c r="O264" s="38" t="n">
        <v>0</v>
      </c>
      <c r="P264" s="38" t="n">
        <v>0</v>
      </c>
      <c r="R264" s="38" t="n">
        <v>774</v>
      </c>
      <c r="S264" s="38" t="n">
        <v>13101</v>
      </c>
      <c r="T264" s="38" t="n">
        <v>18807</v>
      </c>
      <c r="U264" s="39">
        <f>H264+I264+J264+K264</f>
        <v/>
      </c>
      <c r="V264" s="39">
        <f>L264+M264+N264+O264</f>
        <v/>
      </c>
      <c r="W264" s="38" t="n">
        <v>0</v>
      </c>
      <c r="X264" s="38" t="n">
        <v>0</v>
      </c>
      <c r="Y264" s="38" t="n">
        <v>0</v>
      </c>
    </row>
    <row r="265">
      <c r="D265" s="9" t="inlineStr">
        <is>
          <t>Proceeds from Employee Equity Award Plans</t>
        </is>
      </c>
      <c r="G265" s="38" t="n">
        <v>33</v>
      </c>
      <c r="H265" s="38" t="n">
        <v>111</v>
      </c>
      <c r="I265" s="38" t="n">
        <v>100</v>
      </c>
      <c r="J265" s="38" t="n">
        <v>100</v>
      </c>
      <c r="K265" s="38" t="n">
        <v>100</v>
      </c>
      <c r="L265" s="38" t="n">
        <v>100</v>
      </c>
      <c r="M265" s="38" t="n">
        <v>100</v>
      </c>
      <c r="N265" s="38" t="n">
        <v>100</v>
      </c>
      <c r="O265" s="38" t="n">
        <v>100</v>
      </c>
      <c r="P265" s="38" t="n">
        <v>100</v>
      </c>
      <c r="R265" s="38" t="n">
        <v>141</v>
      </c>
      <c r="S265" s="38" t="n">
        <v>224</v>
      </c>
      <c r="T265" s="38" t="n">
        <v>328</v>
      </c>
      <c r="U265" s="39">
        <f>H265+I265+J265+K265</f>
        <v/>
      </c>
      <c r="V265" s="39">
        <f>L265+M265+N265+O265</f>
        <v/>
      </c>
      <c r="W265" s="38" t="n">
        <v>400</v>
      </c>
      <c r="X265" s="38" t="n">
        <v>400</v>
      </c>
      <c r="Y265" s="38" t="n">
        <v>400</v>
      </c>
    </row>
    <row r="266">
      <c r="D266" s="9" t="inlineStr">
        <is>
          <t>Repurchases of Common &amp; Preferred Stock</t>
        </is>
      </c>
      <c r="G266" s="38" t="n">
        <v>-508</v>
      </c>
      <c r="H266" s="38" t="n">
        <v>-4346</v>
      </c>
      <c r="I266" s="38" t="n">
        <v>0</v>
      </c>
      <c r="J266" s="38" t="n">
        <v>0</v>
      </c>
      <c r="K266" s="38" t="n">
        <v>0</v>
      </c>
      <c r="L266" s="38" t="n">
        <v>0</v>
      </c>
      <c r="M266" s="38" t="n">
        <v>0</v>
      </c>
      <c r="N266" s="38" t="n">
        <v>0</v>
      </c>
      <c r="O266" s="38" t="n">
        <v>0</v>
      </c>
      <c r="P266" s="38" t="n">
        <v>0</v>
      </c>
      <c r="R266" s="38" t="n">
        <v>-170</v>
      </c>
      <c r="S266" s="38" t="n">
        <v>-1021</v>
      </c>
      <c r="T266" s="38" t="n">
        <v>-1125</v>
      </c>
      <c r="U266" s="39">
        <f>H266+I266+J266+K266</f>
        <v/>
      </c>
      <c r="V266" s="39">
        <f>L266+M266+N266+O266</f>
        <v/>
      </c>
      <c r="W266" s="38" t="n">
        <v>0</v>
      </c>
      <c r="X266" s="38" t="n">
        <v>0</v>
      </c>
      <c r="Y266" s="38" t="n">
        <v>0</v>
      </c>
    </row>
    <row r="267">
      <c r="D267" s="9" t="inlineStr">
        <is>
          <t>Taxes Paid for Net Share Settlement</t>
        </is>
      </c>
      <c r="G267" s="38" t="n">
        <v>0</v>
      </c>
      <c r="H267" s="38" t="n">
        <v>-100</v>
      </c>
      <c r="I267" s="38" t="n">
        <v>-100</v>
      </c>
      <c r="J267" s="38" t="n">
        <v>-100</v>
      </c>
      <c r="K267" s="38" t="n">
        <v>-100</v>
      </c>
      <c r="L267" s="38" t="n">
        <v>-100</v>
      </c>
      <c r="M267" s="38" t="n">
        <v>-100</v>
      </c>
      <c r="N267" s="38" t="n">
        <v>-100</v>
      </c>
      <c r="O267" s="38" t="n">
        <v>-100</v>
      </c>
      <c r="P267" s="38" t="n">
        <v>-100</v>
      </c>
      <c r="R267" s="38" t="n">
        <v>-211</v>
      </c>
      <c r="S267" s="38" t="n">
        <v>-243</v>
      </c>
      <c r="T267" s="38" t="n">
        <v>-496</v>
      </c>
      <c r="U267" s="39">
        <f>H267+I267+J267+K267</f>
        <v/>
      </c>
      <c r="V267" s="39">
        <f>L267+M267+N267+O267</f>
        <v/>
      </c>
      <c r="W267" s="38" t="n">
        <v>-400</v>
      </c>
      <c r="X267" s="38" t="n">
        <v>-400</v>
      </c>
      <c r="Y267" s="38" t="n">
        <v>-400</v>
      </c>
    </row>
    <row r="268">
      <c r="A268" s="12" t="inlineStr">
        <is>
          <t>x</t>
        </is>
      </c>
      <c r="B268" s="13" t="inlineStr">
        <is>
          <t>Net Cash Provided by Financing Activities</t>
        </is>
      </c>
      <c r="G268" s="40">
        <f>SUM(G259:G267)</f>
        <v/>
      </c>
      <c r="H268" s="40">
        <f>SUM(H259:H267)</f>
        <v/>
      </c>
      <c r="I268" s="40">
        <f>SUM(I259:I267)</f>
        <v/>
      </c>
      <c r="J268" s="40">
        <f>SUM(J259:J267)</f>
        <v/>
      </c>
      <c r="K268" s="40">
        <f>SUM(K259:K267)</f>
        <v/>
      </c>
      <c r="L268" s="40">
        <f>SUM(L259:L267)</f>
        <v/>
      </c>
      <c r="M268" s="40">
        <f>SUM(M259:M267)</f>
        <v/>
      </c>
      <c r="N268" s="40">
        <f>SUM(N259:N267)</f>
        <v/>
      </c>
      <c r="O268" s="40">
        <f>SUM(O259:O267)</f>
        <v/>
      </c>
      <c r="P268" s="40">
        <f>SUM(P259:P267)</f>
        <v/>
      </c>
      <c r="R268" s="40">
        <f>SUM(R259:R267)</f>
        <v/>
      </c>
      <c r="S268" s="40">
        <f>SUM(S259:S267)</f>
        <v/>
      </c>
      <c r="T268" s="40">
        <f>SUM(T259:T267)</f>
        <v/>
      </c>
      <c r="U268" s="40">
        <f>SUM(U259:U267)</f>
        <v/>
      </c>
      <c r="V268" s="40">
        <f>SUM(V259:V267)</f>
        <v/>
      </c>
      <c r="W268" s="40">
        <f>SUM(W259:W267)</f>
        <v/>
      </c>
      <c r="X268" s="40">
        <f>SUM(X259:X267)</f>
        <v/>
      </c>
      <c r="Y268" s="40">
        <f>SUM(Y259:Y267)</f>
        <v/>
      </c>
    </row>
    <row r="269">
      <c r="D269" s="8" t="inlineStr">
        <is>
          <t>Reconciliation: variance vs. as-reported</t>
        </is>
      </c>
      <c r="G269" s="41">
        <f>IF(_reported!G33="","",G268-_reported!G33)</f>
        <v/>
      </c>
      <c r="H269" s="41">
        <f>IF(_reported!H33="","",H268-_reported!H33)</f>
        <v/>
      </c>
      <c r="R269" s="41">
        <f>IF(_reported!R33="","",R268-_reported!R33)</f>
        <v/>
      </c>
      <c r="S269" s="41">
        <f>IF(_reported!S33="","",S268-_reported!S33)</f>
        <v/>
      </c>
      <c r="T269" s="41">
        <f>IF(_reported!T33="","",T268-_reported!T33)</f>
        <v/>
      </c>
    </row>
    <row r="270"/>
    <row r="271">
      <c r="D271" s="9" t="inlineStr">
        <is>
          <t>Effect of Exchange Rate Changes on Cash</t>
        </is>
      </c>
      <c r="G271" s="35" t="n">
        <v>70</v>
      </c>
      <c r="H271" s="35" t="n">
        <v>36</v>
      </c>
      <c r="I271" s="35" t="n">
        <v>0</v>
      </c>
      <c r="J271" s="35" t="n">
        <v>0</v>
      </c>
      <c r="K271" s="35" t="n">
        <v>0</v>
      </c>
      <c r="L271" s="35" t="n">
        <v>0</v>
      </c>
      <c r="M271" s="35" t="n">
        <v>0</v>
      </c>
      <c r="N271" s="35" t="n">
        <v>0</v>
      </c>
      <c r="O271" s="35" t="n">
        <v>0</v>
      </c>
      <c r="P271" s="35" t="n">
        <v>0</v>
      </c>
      <c r="R271" s="35" t="n">
        <v>-2</v>
      </c>
      <c r="S271" s="35" t="n">
        <v>1</v>
      </c>
      <c r="T271" s="35" t="n">
        <v>63</v>
      </c>
      <c r="U271" s="36">
        <f>H271+I271+J271+K271</f>
        <v/>
      </c>
      <c r="V271" s="36">
        <f>L271+M271+N271+O271</f>
        <v/>
      </c>
      <c r="W271" s="35" t="n">
        <v>0</v>
      </c>
      <c r="X271" s="35" t="n">
        <v>0</v>
      </c>
      <c r="Y271" s="35" t="n">
        <v>0</v>
      </c>
    </row>
    <row r="272">
      <c r="A272" s="12" t="inlineStr">
        <is>
          <t>x</t>
        </is>
      </c>
      <c r="B272" s="13" t="inlineStr">
        <is>
          <t>Net Change in Cash &amp; Restricted Cash</t>
        </is>
      </c>
      <c r="G272" s="40">
        <f>G245+G256+G268+G271</f>
        <v/>
      </c>
      <c r="H272" s="40">
        <f>H245+H256+H268+H271</f>
        <v/>
      </c>
      <c r="I272" s="40">
        <f>I245+I256+I268+I271</f>
        <v/>
      </c>
      <c r="J272" s="40">
        <f>J245+J256+J268+J271</f>
        <v/>
      </c>
      <c r="K272" s="40">
        <f>K245+K256+K268+K271</f>
        <v/>
      </c>
      <c r="L272" s="40">
        <f>L245+L256+L268+L271</f>
        <v/>
      </c>
      <c r="M272" s="40">
        <f>M245+M256+M268+M271</f>
        <v/>
      </c>
      <c r="N272" s="40">
        <f>N245+N256+N268+N271</f>
        <v/>
      </c>
      <c r="O272" s="40">
        <f>O245+O256+O268+O271</f>
        <v/>
      </c>
      <c r="P272" s="40">
        <f>P245+P256+P268+P271</f>
        <v/>
      </c>
      <c r="R272" s="40">
        <f>R245+R256+R268+R271</f>
        <v/>
      </c>
      <c r="S272" s="40">
        <f>S245+S256+S268+S271</f>
        <v/>
      </c>
      <c r="T272" s="40">
        <f>T245+T256+T268+T271</f>
        <v/>
      </c>
      <c r="U272" s="40">
        <f>U245+U256+U268+U271</f>
        <v/>
      </c>
      <c r="V272" s="40">
        <f>V245+V256+V268+V271</f>
        <v/>
      </c>
      <c r="W272" s="40">
        <f>W245+W256+W268+W271</f>
        <v/>
      </c>
      <c r="X272" s="40">
        <f>X245+X256+X268+X271</f>
        <v/>
      </c>
      <c r="Y272" s="40">
        <f>Y245+Y256+Y268+Y271</f>
        <v/>
      </c>
    </row>
    <row r="273">
      <c r="D273" s="8" t="inlineStr">
        <is>
          <t>Reconciliation: variance vs. as-reported</t>
        </is>
      </c>
      <c r="G273" s="41">
        <f>IF(_reported!G34="","",G272-_reported!G34)</f>
        <v/>
      </c>
      <c r="H273" s="41">
        <f>IF(_reported!H34="","",H272-_reported!H34)</f>
        <v/>
      </c>
      <c r="R273" s="41">
        <f>IF(_reported!R34="","",R272-_reported!R34)</f>
        <v/>
      </c>
      <c r="S273" s="41">
        <f>IF(_reported!S34="","",S272-_reported!S34)</f>
        <v/>
      </c>
      <c r="T273" s="41">
        <f>IF(_reported!T34="","",T272-_reported!T34)</f>
        <v/>
      </c>
    </row>
    <row r="274">
      <c r="C274" s="9" t="inlineStr">
        <is>
          <t>Cash &amp; Restricted Cash, Beginning of Period</t>
        </is>
      </c>
      <c r="G274" s="38" t="n">
        <v>11501</v>
      </c>
      <c r="H274" s="38" t="n">
        <v>25124</v>
      </c>
      <c r="I274" s="39">
        <f>H275</f>
        <v/>
      </c>
      <c r="J274" s="39">
        <f>I275</f>
        <v/>
      </c>
      <c r="K274" s="39">
        <f>J275</f>
        <v/>
      </c>
      <c r="L274" s="39">
        <f>K275</f>
        <v/>
      </c>
      <c r="M274" s="39">
        <f>L275</f>
        <v/>
      </c>
      <c r="N274" s="39">
        <f>M275</f>
        <v/>
      </c>
      <c r="O274" s="39">
        <f>N275</f>
        <v/>
      </c>
      <c r="P274" s="39">
        <f>O275</f>
        <v/>
      </c>
      <c r="R274" s="38" t="n">
        <v>4617</v>
      </c>
      <c r="S274" s="38" t="n">
        <v>4690</v>
      </c>
      <c r="T274" s="38" t="n">
        <v>11501</v>
      </c>
      <c r="U274" s="39">
        <f>H274</f>
        <v/>
      </c>
      <c r="V274" s="39">
        <f>L274</f>
        <v/>
      </c>
      <c r="W274" s="39">
        <f>V275</f>
        <v/>
      </c>
      <c r="X274" s="39">
        <f>W275</f>
        <v/>
      </c>
      <c r="Y274" s="39">
        <f>X275</f>
        <v/>
      </c>
    </row>
    <row r="275">
      <c r="A275" s="12" t="inlineStr">
        <is>
          <t>x</t>
        </is>
      </c>
      <c r="B275" s="13" t="inlineStr">
        <is>
          <t>Cash &amp; Restricted Cash, End of Period</t>
        </is>
      </c>
      <c r="G275" s="40">
        <f>G274+G272</f>
        <v/>
      </c>
      <c r="H275" s="40">
        <f>H274+H272</f>
        <v/>
      </c>
      <c r="I275" s="40">
        <f>I274+I272</f>
        <v/>
      </c>
      <c r="J275" s="40">
        <f>J274+J272</f>
        <v/>
      </c>
      <c r="K275" s="40">
        <f>K274+K272</f>
        <v/>
      </c>
      <c r="L275" s="40">
        <f>L274+L272</f>
        <v/>
      </c>
      <c r="M275" s="40">
        <f>M274+M272</f>
        <v/>
      </c>
      <c r="N275" s="40">
        <f>N274+N272</f>
        <v/>
      </c>
      <c r="O275" s="40">
        <f>O274+O272</f>
        <v/>
      </c>
      <c r="P275" s="40">
        <f>P274+P272</f>
        <v/>
      </c>
      <c r="R275" s="40">
        <f>R274+R272</f>
        <v/>
      </c>
      <c r="S275" s="40">
        <f>S274+S272</f>
        <v/>
      </c>
      <c r="T275" s="40">
        <f>T274+T272</f>
        <v/>
      </c>
      <c r="U275" s="40">
        <f>K275</f>
        <v/>
      </c>
      <c r="V275" s="40">
        <f>O275</f>
        <v/>
      </c>
      <c r="W275" s="40">
        <f>W274+W272</f>
        <v/>
      </c>
      <c r="X275" s="40">
        <f>X274+X272</f>
        <v/>
      </c>
      <c r="Y275" s="40">
        <f>Y274+Y272</f>
        <v/>
      </c>
    </row>
    <row r="276">
      <c r="D276" s="8" t="inlineStr">
        <is>
          <t>Reconciliation: variance vs. as-reported</t>
        </is>
      </c>
      <c r="G276" s="41">
        <f>IF(_reported!G35="","",G275-_reported!G35)</f>
        <v/>
      </c>
      <c r="H276" s="41">
        <f>IF(_reported!H35="","",H275-_reported!H35)</f>
        <v/>
      </c>
      <c r="R276" s="41">
        <f>IF(_reported!R35="","",R275-_reported!R35)</f>
        <v/>
      </c>
      <c r="S276" s="41">
        <f>IF(_reported!S35="","",S275-_reported!S35)</f>
        <v/>
      </c>
      <c r="T276" s="41">
        <f>IF(_reported!T35="","",T275-_reported!T35)</f>
        <v/>
      </c>
    </row>
    <row r="277"/>
    <row r="278">
      <c r="D278" s="8" t="inlineStr">
        <is>
          <t>Memo: Restricted Cash in Prepaid &amp; Other CA</t>
        </is>
      </c>
      <c r="G278" s="43" t="n"/>
      <c r="H278" s="35" t="n">
        <v>67</v>
      </c>
      <c r="I278" s="36">
        <f>H278</f>
        <v/>
      </c>
      <c r="J278" s="36">
        <f>I278</f>
        <v/>
      </c>
      <c r="K278" s="36">
        <f>J278</f>
        <v/>
      </c>
      <c r="L278" s="36">
        <f>K278</f>
        <v/>
      </c>
      <c r="M278" s="36">
        <f>L278</f>
        <v/>
      </c>
      <c r="N278" s="36">
        <f>M278</f>
        <v/>
      </c>
      <c r="O278" s="36">
        <f>N278</f>
        <v/>
      </c>
      <c r="P278" s="36">
        <f>O278</f>
        <v/>
      </c>
      <c r="R278" s="35" t="n">
        <v>28</v>
      </c>
      <c r="S278" s="35" t="n">
        <v>23</v>
      </c>
      <c r="T278" s="35" t="n">
        <v>182</v>
      </c>
      <c r="U278" s="36">
        <f>K278</f>
        <v/>
      </c>
      <c r="V278" s="36">
        <f>O278</f>
        <v/>
      </c>
      <c r="W278" s="36">
        <f>V278</f>
        <v/>
      </c>
      <c r="X278" s="36">
        <f>W278</f>
        <v/>
      </c>
      <c r="Y278" s="36">
        <f>X278</f>
        <v/>
      </c>
    </row>
    <row r="279">
      <c r="D279" s="8" t="inlineStr">
        <is>
          <t>Memo: Restricted Cash in Other Assets</t>
        </is>
      </c>
      <c r="G279" s="43" t="n"/>
      <c r="H279" s="35" t="n">
        <v>689</v>
      </c>
      <c r="I279" s="36">
        <f>H279</f>
        <v/>
      </c>
      <c r="J279" s="36">
        <f>I279</f>
        <v/>
      </c>
      <c r="K279" s="36">
        <f>J279</f>
        <v/>
      </c>
      <c r="L279" s="36">
        <f>K279</f>
        <v/>
      </c>
      <c r="M279" s="36">
        <f>L279</f>
        <v/>
      </c>
      <c r="N279" s="36">
        <f>M279</f>
        <v/>
      </c>
      <c r="O279" s="36">
        <f>N279</f>
        <v/>
      </c>
      <c r="P279" s="36">
        <f>O279</f>
        <v/>
      </c>
      <c r="R279" s="35" t="n">
        <v>42</v>
      </c>
      <c r="S279" s="35" t="n">
        <v>93</v>
      </c>
      <c r="T279" s="35" t="n">
        <v>195</v>
      </c>
      <c r="U279" s="36">
        <f>K279</f>
        <v/>
      </c>
      <c r="V279" s="36">
        <f>O279</f>
        <v/>
      </c>
      <c r="W279" s="36">
        <f>V279</f>
        <v/>
      </c>
      <c r="X279" s="36">
        <f>W279</f>
        <v/>
      </c>
      <c r="Y279" s="36">
        <f>X279</f>
        <v/>
      </c>
    </row>
    <row r="280">
      <c r="D280" s="8" t="inlineStr">
        <is>
          <t>Cash Tie-Out (BS Cash + Restricted − CF Ending) — must be $0</t>
        </is>
      </c>
      <c r="G280" s="45">
        <f>IF(G128="","",G128+G278+G279-G275)</f>
        <v/>
      </c>
      <c r="H280" s="45">
        <f>IF(H128="","",H128+H278+H279-H275)</f>
        <v/>
      </c>
      <c r="I280" s="45">
        <f>IF(I128="","",I128+I278+I279-I275)</f>
        <v/>
      </c>
      <c r="J280" s="45">
        <f>IF(J128="","",J128+J278+J279-J275)</f>
        <v/>
      </c>
      <c r="K280" s="45">
        <f>IF(K128="","",K128+K278+K279-K275)</f>
        <v/>
      </c>
      <c r="L280" s="45">
        <f>IF(L128="","",L128+L278+L279-L275)</f>
        <v/>
      </c>
      <c r="M280" s="45">
        <f>IF(M128="","",M128+M278+M279-M275)</f>
        <v/>
      </c>
      <c r="N280" s="45">
        <f>IF(N128="","",N128+N278+N279-N275)</f>
        <v/>
      </c>
      <c r="O280" s="45">
        <f>IF(O128="","",O128+O278+O279-O275)</f>
        <v/>
      </c>
      <c r="P280" s="45">
        <f>IF(P128="","",P128+P278+P279-P275)</f>
        <v/>
      </c>
      <c r="R280" s="45">
        <f>IF(R128="","",R128+R278+R279-R275)</f>
        <v/>
      </c>
      <c r="S280" s="45">
        <f>IF(S128="","",S128+S278+S279-S275)</f>
        <v/>
      </c>
      <c r="T280" s="45">
        <f>IF(T128="","",T128+T278+T279-T275)</f>
        <v/>
      </c>
      <c r="U280" s="45">
        <f>IF(U128="","",U128+U278+U279-U275)</f>
        <v/>
      </c>
      <c r="V280" s="45">
        <f>IF(V128="","",V128+V278+V279-V275)</f>
        <v/>
      </c>
      <c r="W280" s="45">
        <f>IF(W128="","",W128+W278+W279-W275)</f>
        <v/>
      </c>
      <c r="X280" s="45">
        <f>IF(X128="","",X128+X278+X279-X275)</f>
        <v/>
      </c>
      <c r="Y280" s="45">
        <f>IF(Y128="","",Y128+Y278+Y279-Y275)</f>
        <v/>
      </c>
    </row>
    <row r="281"/>
    <row r="282"/>
    <row r="283">
      <c r="B283" s="25" t="inlineStr">
        <is>
          <t>Cash Flow Ratios &amp; Assumptions</t>
        </is>
      </c>
      <c r="C283" s="25" t="n"/>
      <c r="D283" s="25" t="n"/>
      <c r="E283" s="25" t="n"/>
      <c r="F283" s="25" t="n"/>
      <c r="G283" s="25" t="n"/>
      <c r="H283" s="25" t="n"/>
      <c r="I283" s="25" t="n"/>
      <c r="J283" s="25" t="n"/>
      <c r="K283" s="25" t="n"/>
      <c r="L283" s="25" t="n"/>
      <c r="M283" s="25" t="n"/>
      <c r="N283" s="25" t="n"/>
      <c r="O283" s="25" t="n"/>
      <c r="P283" s="25" t="n"/>
      <c r="R283" s="25" t="n"/>
      <c r="S283" s="25" t="n"/>
      <c r="T283" s="25" t="n"/>
      <c r="U283" s="25" t="n"/>
      <c r="V283" s="25" t="n"/>
      <c r="W283" s="25" t="n"/>
      <c r="X283" s="25" t="n"/>
      <c r="Y283" s="25" t="n"/>
    </row>
    <row r="284"/>
    <row r="285">
      <c r="D285" s="9" t="inlineStr">
        <is>
          <t>Total Capex (PP&amp;E + Capitalized Interest)</t>
        </is>
      </c>
      <c r="G285" s="36">
        <f>G248+G249</f>
        <v/>
      </c>
      <c r="H285" s="36">
        <f>H248+H249</f>
        <v/>
      </c>
      <c r="I285" s="36">
        <f>I248+I249</f>
        <v/>
      </c>
      <c r="J285" s="36">
        <f>J248+J249</f>
        <v/>
      </c>
      <c r="K285" s="36">
        <f>K248+K249</f>
        <v/>
      </c>
      <c r="L285" s="36">
        <f>L248+L249</f>
        <v/>
      </c>
      <c r="M285" s="36">
        <f>M248+M249</f>
        <v/>
      </c>
      <c r="N285" s="36">
        <f>N248+N249</f>
        <v/>
      </c>
      <c r="O285" s="36">
        <f>O248+O249</f>
        <v/>
      </c>
      <c r="P285" s="36">
        <f>P248+P249</f>
        <v/>
      </c>
      <c r="R285" s="36">
        <f>R248+R249</f>
        <v/>
      </c>
      <c r="S285" s="36">
        <f>S248+S249</f>
        <v/>
      </c>
      <c r="T285" s="36">
        <f>T248+T249</f>
        <v/>
      </c>
      <c r="U285" s="36">
        <f>U248+U249</f>
        <v/>
      </c>
      <c r="V285" s="36">
        <f>V248+V249</f>
        <v/>
      </c>
      <c r="W285" s="36">
        <f>W248+W249</f>
        <v/>
      </c>
      <c r="X285" s="36">
        <f>X248+X249</f>
        <v/>
      </c>
      <c r="Y285" s="36">
        <f>Y248+Y249</f>
        <v/>
      </c>
    </row>
    <row r="286">
      <c r="D286" s="13" t="inlineStr">
        <is>
          <t>Free Cash Flow (CFO + Capex)</t>
        </is>
      </c>
      <c r="G286" s="47">
        <f>G245+G285</f>
        <v/>
      </c>
      <c r="H286" s="47">
        <f>H245+H285</f>
        <v/>
      </c>
      <c r="I286" s="47">
        <f>I245+I285</f>
        <v/>
      </c>
      <c r="J286" s="47">
        <f>J245+J285</f>
        <v/>
      </c>
      <c r="K286" s="47">
        <f>K245+K285</f>
        <v/>
      </c>
      <c r="L286" s="47">
        <f>L245+L285</f>
        <v/>
      </c>
      <c r="M286" s="47">
        <f>M245+M285</f>
        <v/>
      </c>
      <c r="N286" s="47">
        <f>N245+N285</f>
        <v/>
      </c>
      <c r="O286" s="47">
        <f>O245+O285</f>
        <v/>
      </c>
      <c r="P286" s="47">
        <f>P245+P285</f>
        <v/>
      </c>
      <c r="R286" s="47">
        <f>R245+R285</f>
        <v/>
      </c>
      <c r="S286" s="47">
        <f>S245+S285</f>
        <v/>
      </c>
      <c r="T286" s="47">
        <f>T245+T285</f>
        <v/>
      </c>
      <c r="U286" s="47">
        <f>U245+U285</f>
        <v/>
      </c>
      <c r="V286" s="47">
        <f>V245+V285</f>
        <v/>
      </c>
      <c r="W286" s="47">
        <f>W245+W285</f>
        <v/>
      </c>
      <c r="X286" s="47">
        <f>X245+X285</f>
        <v/>
      </c>
      <c r="Y286" s="47">
        <f>Y245+Y285</f>
        <v/>
      </c>
      <c r="AA286" s="37">
        <f>IFERROR((Y286/T286)^(1/5)-1,"")</f>
        <v/>
      </c>
    </row>
    <row r="287"/>
    <row r="288">
      <c r="D288" s="9" t="inlineStr">
        <is>
          <t>CFO Margin (CFO / Revenue)</t>
        </is>
      </c>
      <c r="G288" s="37">
        <f>IFERROR(G245/G13,"")</f>
        <v/>
      </c>
      <c r="H288" s="37">
        <f>IFERROR(H245/H13,"")</f>
        <v/>
      </c>
      <c r="I288" s="37">
        <f>IFERROR(I245/I13,"")</f>
        <v/>
      </c>
      <c r="J288" s="37">
        <f>IFERROR(J245/J13,"")</f>
        <v/>
      </c>
      <c r="K288" s="37">
        <f>IFERROR(K245/K13,"")</f>
        <v/>
      </c>
      <c r="L288" s="37">
        <f>IFERROR(L245/L13,"")</f>
        <v/>
      </c>
      <c r="M288" s="37">
        <f>IFERROR(M245/M13,"")</f>
        <v/>
      </c>
      <c r="N288" s="37">
        <f>IFERROR(N245/N13,"")</f>
        <v/>
      </c>
      <c r="O288" s="37">
        <f>IFERROR(O245/O13,"")</f>
        <v/>
      </c>
      <c r="P288" s="37">
        <f>IFERROR(P245/P13,"")</f>
        <v/>
      </c>
      <c r="R288" s="37">
        <f>IFERROR(R245/R13,"")</f>
        <v/>
      </c>
      <c r="S288" s="37">
        <f>IFERROR(S245/S13,"")</f>
        <v/>
      </c>
      <c r="T288" s="37">
        <f>IFERROR(T245/T13,"")</f>
        <v/>
      </c>
      <c r="U288" s="37">
        <f>IFERROR(U245/U13,"")</f>
        <v/>
      </c>
      <c r="V288" s="37">
        <f>IFERROR(V245/V13,"")</f>
        <v/>
      </c>
      <c r="W288" s="37">
        <f>IFERROR(W245/W13,"")</f>
        <v/>
      </c>
      <c r="X288" s="37">
        <f>IFERROR(X245/X13,"")</f>
        <v/>
      </c>
      <c r="Y288" s="37">
        <f>IFERROR(Y245/Y13,"")</f>
        <v/>
      </c>
    </row>
    <row r="289">
      <c r="D289" s="9" t="inlineStr">
        <is>
          <t>FCF Margin</t>
        </is>
      </c>
      <c r="G289" s="37">
        <f>IFERROR(G286/G13,"")</f>
        <v/>
      </c>
      <c r="H289" s="37">
        <f>IFERROR(H286/H13,"")</f>
        <v/>
      </c>
      <c r="I289" s="37">
        <f>IFERROR(I286/I13,"")</f>
        <v/>
      </c>
      <c r="J289" s="37">
        <f>IFERROR(J286/J13,"")</f>
        <v/>
      </c>
      <c r="K289" s="37">
        <f>IFERROR(K286/K13,"")</f>
        <v/>
      </c>
      <c r="L289" s="37">
        <f>IFERROR(L286/L13,"")</f>
        <v/>
      </c>
      <c r="M289" s="37">
        <f>IFERROR(M286/M13,"")</f>
        <v/>
      </c>
      <c r="N289" s="37">
        <f>IFERROR(N286/N13,"")</f>
        <v/>
      </c>
      <c r="O289" s="37">
        <f>IFERROR(O286/O13,"")</f>
        <v/>
      </c>
      <c r="P289" s="37">
        <f>IFERROR(P286/P13,"")</f>
        <v/>
      </c>
      <c r="R289" s="37">
        <f>IFERROR(R286/R13,"")</f>
        <v/>
      </c>
      <c r="S289" s="37">
        <f>IFERROR(S286/S13,"")</f>
        <v/>
      </c>
      <c r="T289" s="37">
        <f>IFERROR(T286/T13,"")</f>
        <v/>
      </c>
      <c r="U289" s="37">
        <f>IFERROR(U286/U13,"")</f>
        <v/>
      </c>
      <c r="V289" s="37">
        <f>IFERROR(V286/V13,"")</f>
        <v/>
      </c>
      <c r="W289" s="37">
        <f>IFERROR(W286/W13,"")</f>
        <v/>
      </c>
      <c r="X289" s="37">
        <f>IFERROR(X286/X13,"")</f>
        <v/>
      </c>
      <c r="Y289" s="37">
        <f>IFERROR(Y286/Y13,"")</f>
        <v/>
      </c>
    </row>
    <row r="290">
      <c r="D290" s="27" t="inlineStr">
        <is>
          <t>Capex (% of Revenue) [KEY DRIVER]</t>
        </is>
      </c>
      <c r="G290" s="37">
        <f>IFERROR(-G285/G13,"")</f>
        <v/>
      </c>
      <c r="H290" s="37">
        <f>IFERROR(-H285/H13,"")</f>
        <v/>
      </c>
      <c r="I290" s="37">
        <f>IFERROR(-I285/I13,"")</f>
        <v/>
      </c>
      <c r="J290" s="37">
        <f>IFERROR(-J285/J13,"")</f>
        <v/>
      </c>
      <c r="K290" s="37">
        <f>IFERROR(-K285/K13,"")</f>
        <v/>
      </c>
      <c r="L290" s="37">
        <f>IFERROR(-L285/L13,"")</f>
        <v/>
      </c>
      <c r="M290" s="37">
        <f>IFERROR(-M285/M13,"")</f>
        <v/>
      </c>
      <c r="N290" s="37">
        <f>IFERROR(-N285/N13,"")</f>
        <v/>
      </c>
      <c r="O290" s="37">
        <f>IFERROR(-O285/O13,"")</f>
        <v/>
      </c>
      <c r="P290" s="37">
        <f>IFERROR(-P285/P13,"")</f>
        <v/>
      </c>
      <c r="R290" s="37">
        <f>IFERROR(-R285/R13,"")</f>
        <v/>
      </c>
      <c r="S290" s="37">
        <f>IFERROR(-S285/S13,"")</f>
        <v/>
      </c>
      <c r="T290" s="37">
        <f>IFERROR(-T285/T13,"")</f>
        <v/>
      </c>
      <c r="U290" s="37">
        <f>IFERROR(-U285/U13,"")</f>
        <v/>
      </c>
      <c r="V290" s="37">
        <f>IFERROR(-V285/V13,"")</f>
        <v/>
      </c>
      <c r="W290" s="37">
        <f>IFERROR(-W285/W13,"")</f>
        <v/>
      </c>
      <c r="X290" s="37">
        <f>IFERROR(-X285/X13,"")</f>
        <v/>
      </c>
      <c r="Y290" s="37">
        <f>IFERROR(-Y285/Y13,"")</f>
        <v/>
      </c>
    </row>
    <row r="291">
      <c r="D291" s="9" t="inlineStr">
        <is>
          <t>CFO / Net Income (cash conversion)</t>
        </is>
      </c>
      <c r="G291" s="46">
        <f>IFERROR(G245/G39,"")</f>
        <v/>
      </c>
      <c r="H291" s="46">
        <f>IFERROR(H245/H39,"")</f>
        <v/>
      </c>
      <c r="I291" s="46">
        <f>IFERROR(I245/I39,"")</f>
        <v/>
      </c>
      <c r="J291" s="46">
        <f>IFERROR(J245/J39,"")</f>
        <v/>
      </c>
      <c r="K291" s="46">
        <f>IFERROR(K245/K39,"")</f>
        <v/>
      </c>
      <c r="L291" s="46">
        <f>IFERROR(L245/L39,"")</f>
        <v/>
      </c>
      <c r="M291" s="46">
        <f>IFERROR(M245/M39,"")</f>
        <v/>
      </c>
      <c r="N291" s="46">
        <f>IFERROR(N245/N39,"")</f>
        <v/>
      </c>
      <c r="O291" s="46">
        <f>IFERROR(O245/O39,"")</f>
        <v/>
      </c>
      <c r="P291" s="46">
        <f>IFERROR(P245/P39,"")</f>
        <v/>
      </c>
      <c r="R291" s="46">
        <f>IFERROR(R245/R39,"")</f>
        <v/>
      </c>
      <c r="S291" s="46">
        <f>IFERROR(S245/S39,"")</f>
        <v/>
      </c>
      <c r="T291" s="46">
        <f>IFERROR(T245/T39,"")</f>
        <v/>
      </c>
      <c r="U291" s="46">
        <f>IFERROR(U245/U39,"")</f>
        <v/>
      </c>
      <c r="V291" s="46">
        <f>IFERROR(V245/V39,"")</f>
        <v/>
      </c>
      <c r="W291" s="46">
        <f>IFERROR(W245/W39,"")</f>
        <v/>
      </c>
      <c r="X291" s="46">
        <f>IFERROR(X245/X39,"")</f>
        <v/>
      </c>
      <c r="Y291" s="46">
        <f>IFERROR(Y245/Y39,"")</f>
        <v/>
      </c>
    </row>
    <row r="292">
      <c r="D292" s="9" t="inlineStr">
        <is>
          <t>SBC (% of Revenue)</t>
        </is>
      </c>
      <c r="G292" s="37">
        <f>IFERROR(G229/G13,"")</f>
        <v/>
      </c>
      <c r="H292" s="37">
        <f>IFERROR(H229/H13,"")</f>
        <v/>
      </c>
      <c r="I292" s="37">
        <f>IFERROR(I229/I13,"")</f>
        <v/>
      </c>
      <c r="J292" s="37">
        <f>IFERROR(J229/J13,"")</f>
        <v/>
      </c>
      <c r="K292" s="37">
        <f>IFERROR(K229/K13,"")</f>
        <v/>
      </c>
      <c r="L292" s="37">
        <f>IFERROR(L229/L13,"")</f>
        <v/>
      </c>
      <c r="M292" s="37">
        <f>IFERROR(M229/M13,"")</f>
        <v/>
      </c>
      <c r="N292" s="37">
        <f>IFERROR(N229/N13,"")</f>
        <v/>
      </c>
      <c r="O292" s="37">
        <f>IFERROR(O229/O13,"")</f>
        <v/>
      </c>
      <c r="P292" s="37">
        <f>IFERROR(P229/P13,"")</f>
        <v/>
      </c>
      <c r="R292" s="37">
        <f>IFERROR(R229/R13,"")</f>
        <v/>
      </c>
      <c r="S292" s="37">
        <f>IFERROR(S229/S13,"")</f>
        <v/>
      </c>
      <c r="T292" s="37">
        <f>IFERROR(T229/T13,"")</f>
        <v/>
      </c>
      <c r="U292" s="37">
        <f>IFERROR(U229/U13,"")</f>
        <v/>
      </c>
      <c r="V292" s="37">
        <f>IFERROR(V229/V13,"")</f>
        <v/>
      </c>
      <c r="W292" s="37">
        <f>IFERROR(W229/W13,"")</f>
        <v/>
      </c>
      <c r="X292" s="37">
        <f>IFERROR(X229/X13,"")</f>
        <v/>
      </c>
      <c r="Y292" s="37">
        <f>IFERROR(Y229/Y13,"")</f>
        <v/>
      </c>
    </row>
    <row r="293"/>
    <row r="294"/>
    <row r="295"/>
    <row r="296">
      <c r="B296" s="51" t="n"/>
      <c r="C296" s="51" t="n"/>
      <c r="D296" s="51" t="n"/>
      <c r="E296" s="51" t="n"/>
      <c r="F296" s="51" t="n"/>
      <c r="G296" s="51" t="n"/>
      <c r="H296" s="51" t="n"/>
      <c r="I296" s="51" t="n"/>
      <c r="J296" s="51" t="n"/>
      <c r="K296" s="51" t="n"/>
      <c r="L296" s="51" t="n"/>
      <c r="M296" s="51" t="n"/>
      <c r="N296" s="51" t="n"/>
      <c r="O296" s="51" t="n"/>
      <c r="P296" s="51" t="n"/>
      <c r="R296" s="51" t="n"/>
      <c r="S296" s="51" t="n"/>
      <c r="T296" s="51" t="n"/>
      <c r="U296" s="51" t="n"/>
      <c r="V296" s="51" t="n"/>
      <c r="W296" s="51" t="n"/>
      <c r="X296" s="51" t="n"/>
      <c r="Y296" s="51" t="n"/>
    </row>
    <row r="297">
      <c r="C297" s="8" t="n"/>
    </row>
    <row r="298"/>
    <row r="299">
      <c r="C299" s="9" t="n"/>
      <c r="G299" s="35" t="n"/>
      <c r="H299" s="35" t="n"/>
      <c r="I299" s="36" t="n"/>
      <c r="J299" s="36" t="n"/>
      <c r="K299" s="36" t="n"/>
      <c r="L299" s="36" t="n"/>
      <c r="M299" s="36" t="n"/>
      <c r="N299" s="36" t="n"/>
      <c r="O299" s="36" t="n"/>
      <c r="P299" s="36" t="n"/>
      <c r="R299" s="35" t="n"/>
      <c r="S299" s="35" t="n"/>
      <c r="T299" s="35" t="n"/>
      <c r="U299" s="36" t="n"/>
      <c r="V299" s="36" t="n"/>
      <c r="W299" s="36" t="n"/>
      <c r="X299" s="36" t="n"/>
      <c r="Y299" s="36" t="n"/>
    </row>
    <row r="300">
      <c r="D300" s="2" t="n"/>
      <c r="I300" s="42" t="n"/>
      <c r="J300" s="42" t="n"/>
      <c r="K300" s="42" t="n"/>
      <c r="L300" s="42" t="n"/>
      <c r="M300" s="42" t="n"/>
      <c r="N300" s="42" t="n"/>
      <c r="O300" s="42" t="n"/>
      <c r="P300" s="42" t="n"/>
      <c r="U300" s="37" t="n"/>
      <c r="V300" s="37" t="n"/>
      <c r="W300" s="42" t="n"/>
      <c r="X300" s="42" t="n"/>
      <c r="Y300" s="42" t="n"/>
    </row>
    <row r="301">
      <c r="C301" s="9" t="n"/>
      <c r="G301" s="35" t="n"/>
      <c r="H301" s="35" t="n"/>
      <c r="I301" s="36" t="n"/>
      <c r="J301" s="36" t="n"/>
      <c r="K301" s="36" t="n"/>
      <c r="L301" s="36" t="n"/>
      <c r="M301" s="36" t="n"/>
      <c r="N301" s="36" t="n"/>
      <c r="O301" s="36" t="n"/>
      <c r="P301" s="36" t="n"/>
      <c r="R301" s="35" t="n"/>
      <c r="S301" s="35" t="n"/>
      <c r="T301" s="35" t="n"/>
      <c r="U301" s="36" t="n"/>
      <c r="V301" s="36" t="n"/>
      <c r="W301" s="36" t="n"/>
      <c r="X301" s="36" t="n"/>
      <c r="Y301" s="36" t="n"/>
    </row>
    <row r="302">
      <c r="D302" s="2" t="n"/>
      <c r="I302" s="42" t="n"/>
      <c r="J302" s="42" t="n"/>
      <c r="K302" s="42" t="n"/>
      <c r="L302" s="42" t="n"/>
      <c r="M302" s="42" t="n"/>
      <c r="N302" s="42" t="n"/>
      <c r="O302" s="42" t="n"/>
      <c r="P302" s="42" t="n"/>
      <c r="U302" s="37" t="n"/>
      <c r="V302" s="37" t="n"/>
      <c r="W302" s="42" t="n"/>
      <c r="X302" s="42" t="n"/>
      <c r="Y302" s="42" t="n"/>
    </row>
    <row r="303">
      <c r="B303" s="13" t="n"/>
      <c r="G303" s="40" t="n"/>
      <c r="H303" s="40" t="n"/>
      <c r="I303" s="40" t="n"/>
      <c r="J303" s="40" t="n"/>
      <c r="K303" s="40" t="n"/>
      <c r="L303" s="40" t="n"/>
      <c r="M303" s="40" t="n"/>
      <c r="N303" s="40" t="n"/>
      <c r="O303" s="40" t="n"/>
      <c r="P303" s="40" t="n"/>
      <c r="R303" s="40" t="n"/>
      <c r="S303" s="40" t="n"/>
      <c r="T303" s="40" t="n"/>
      <c r="U303" s="40" t="n"/>
      <c r="V303" s="40" t="n"/>
      <c r="W303" s="40" t="n"/>
      <c r="X303" s="40" t="n"/>
      <c r="Y303" s="40" t="n"/>
    </row>
    <row r="304"/>
    <row r="305">
      <c r="C305" s="9" t="n"/>
      <c r="G305" s="38" t="n"/>
      <c r="H305" s="38" t="n"/>
      <c r="I305" s="39" t="n"/>
      <c r="J305" s="39" t="n"/>
      <c r="K305" s="39" t="n"/>
      <c r="L305" s="39" t="n"/>
      <c r="M305" s="39" t="n"/>
      <c r="N305" s="39" t="n"/>
      <c r="O305" s="39" t="n"/>
      <c r="P305" s="39" t="n"/>
      <c r="R305" s="38" t="n"/>
      <c r="S305" s="38" t="n"/>
      <c r="T305" s="38" t="n"/>
      <c r="U305" s="39" t="n"/>
      <c r="V305" s="39" t="n"/>
      <c r="W305" s="39" t="n"/>
      <c r="X305" s="39" t="n"/>
      <c r="Y305" s="39" t="n"/>
    </row>
    <row r="306">
      <c r="D306" s="2" t="n"/>
      <c r="I306" s="42" t="n"/>
      <c r="J306" s="42" t="n"/>
      <c r="K306" s="42" t="n"/>
      <c r="L306" s="42" t="n"/>
      <c r="M306" s="42" t="n"/>
      <c r="N306" s="42" t="n"/>
      <c r="O306" s="42" t="n"/>
      <c r="P306" s="42" t="n"/>
      <c r="U306" s="37" t="n"/>
      <c r="V306" s="37" t="n"/>
      <c r="W306" s="42" t="n"/>
      <c r="X306" s="42" t="n"/>
      <c r="Y306" s="42" t="n"/>
      <c r="AC306" s="8" t="n"/>
    </row>
    <row r="307">
      <c r="D307" s="2" t="n"/>
      <c r="G307" s="39" t="n"/>
      <c r="H307" s="39" t="n"/>
      <c r="I307" s="39" t="n"/>
      <c r="J307" s="39" t="n"/>
      <c r="K307" s="39" t="n"/>
      <c r="L307" s="39" t="n"/>
      <c r="M307" s="39" t="n"/>
      <c r="N307" s="39" t="n"/>
      <c r="O307" s="39" t="n"/>
      <c r="P307" s="39" t="n"/>
      <c r="S307" s="39" t="n"/>
      <c r="T307" s="39" t="n"/>
      <c r="U307" s="39" t="n"/>
      <c r="V307" s="39" t="n"/>
      <c r="W307" s="39" t="n"/>
      <c r="X307" s="39" t="n"/>
      <c r="Y307" s="39" t="n"/>
    </row>
    <row r="308">
      <c r="D308" s="2" t="n"/>
      <c r="G308" s="48" t="n"/>
      <c r="H308" s="48" t="n"/>
      <c r="I308" s="49" t="n"/>
      <c r="J308" s="49" t="n"/>
      <c r="K308" s="49" t="n"/>
      <c r="L308" s="49" t="n"/>
      <c r="M308" s="49" t="n"/>
      <c r="N308" s="49" t="n"/>
      <c r="O308" s="49" t="n"/>
      <c r="P308" s="49" t="n"/>
      <c r="R308" s="48" t="n"/>
      <c r="S308" s="48" t="n"/>
      <c r="T308" s="48" t="n"/>
      <c r="U308" s="48" t="n"/>
      <c r="V308" s="48" t="n"/>
      <c r="W308" s="49" t="n"/>
      <c r="X308" s="49" t="n"/>
      <c r="Y308" s="49" t="n"/>
    </row>
    <row r="309">
      <c r="C309" s="9" t="n"/>
      <c r="G309" s="35" t="n"/>
      <c r="H309" s="35" t="n"/>
      <c r="I309" s="36" t="n"/>
      <c r="J309" s="36" t="n"/>
      <c r="K309" s="36" t="n"/>
      <c r="L309" s="36" t="n"/>
      <c r="M309" s="36" t="n"/>
      <c r="N309" s="36" t="n"/>
      <c r="O309" s="36" t="n"/>
      <c r="P309" s="36" t="n"/>
      <c r="R309" s="35" t="n"/>
      <c r="S309" s="35" t="n"/>
      <c r="T309" s="35" t="n"/>
      <c r="U309" s="36" t="n"/>
      <c r="V309" s="36" t="n"/>
      <c r="W309" s="36" t="n"/>
      <c r="X309" s="36" t="n"/>
      <c r="Y309" s="36" t="n"/>
    </row>
    <row r="310">
      <c r="C310" s="9" t="n"/>
      <c r="G310" s="35" t="n"/>
      <c r="H310" s="35" t="n"/>
      <c r="I310" s="36" t="n"/>
      <c r="J310" s="36" t="n"/>
      <c r="K310" s="36" t="n"/>
      <c r="L310" s="36" t="n"/>
      <c r="M310" s="36" t="n"/>
      <c r="N310" s="36" t="n"/>
      <c r="O310" s="36" t="n"/>
      <c r="P310" s="36" t="n"/>
      <c r="R310" s="35" t="n"/>
      <c r="S310" s="35" t="n"/>
      <c r="T310" s="35" t="n"/>
      <c r="U310" s="36" t="n"/>
      <c r="V310" s="36" t="n"/>
      <c r="W310" s="36" t="n"/>
      <c r="X310" s="36" t="n"/>
      <c r="Y310" s="36" t="n"/>
    </row>
    <row r="311">
      <c r="D311" s="2" t="n"/>
      <c r="I311" s="42" t="n"/>
      <c r="J311" s="42" t="n"/>
      <c r="K311" s="42" t="n"/>
      <c r="L311" s="42" t="n"/>
      <c r="M311" s="42" t="n"/>
      <c r="N311" s="42" t="n"/>
      <c r="O311" s="42" t="n"/>
      <c r="P311" s="42" t="n"/>
      <c r="U311" s="37" t="n"/>
      <c r="V311" s="37" t="n"/>
      <c r="W311" s="42" t="n"/>
      <c r="X311" s="42" t="n"/>
      <c r="Y311" s="42" t="n"/>
    </row>
    <row r="312">
      <c r="B312" s="13" t="n"/>
      <c r="G312" s="40" t="n"/>
      <c r="H312" s="40" t="n"/>
      <c r="I312" s="40" t="n"/>
      <c r="J312" s="40" t="n"/>
      <c r="K312" s="40" t="n"/>
      <c r="L312" s="40" t="n"/>
      <c r="M312" s="40" t="n"/>
      <c r="N312" s="40" t="n"/>
      <c r="O312" s="40" t="n"/>
      <c r="P312" s="40" t="n"/>
      <c r="R312" s="40" t="n"/>
      <c r="S312" s="40" t="n"/>
      <c r="T312" s="40" t="n"/>
      <c r="U312" s="40" t="n"/>
      <c r="V312" s="40" t="n"/>
      <c r="W312" s="40" t="n"/>
      <c r="X312" s="40" t="n"/>
      <c r="Y312" s="40" t="n"/>
    </row>
    <row r="313"/>
    <row r="314">
      <c r="C314" s="9" t="n"/>
      <c r="G314" s="35" t="n"/>
      <c r="H314" s="35" t="n"/>
      <c r="I314" s="36" t="n"/>
      <c r="J314" s="36" t="n"/>
      <c r="K314" s="36" t="n"/>
      <c r="L314" s="36" t="n"/>
      <c r="M314" s="36" t="n"/>
      <c r="N314" s="36" t="n"/>
      <c r="O314" s="36" t="n"/>
      <c r="P314" s="36" t="n"/>
      <c r="R314" s="35" t="n"/>
      <c r="S314" s="35" t="n"/>
      <c r="T314" s="35" t="n"/>
      <c r="U314" s="36" t="n"/>
      <c r="V314" s="36" t="n"/>
      <c r="W314" s="36" t="n"/>
      <c r="X314" s="36" t="n"/>
      <c r="Y314" s="36" t="n"/>
    </row>
    <row r="315">
      <c r="D315" s="2" t="n"/>
      <c r="I315" s="42" t="n"/>
      <c r="J315" s="42" t="n"/>
      <c r="K315" s="42" t="n"/>
      <c r="L315" s="42" t="n"/>
      <c r="M315" s="42" t="n"/>
      <c r="N315" s="42" t="n"/>
      <c r="O315" s="42" t="n"/>
      <c r="P315" s="42" t="n"/>
      <c r="U315" s="37" t="n"/>
      <c r="V315" s="37" t="n"/>
      <c r="W315" s="42" t="n"/>
      <c r="X315" s="42" t="n"/>
      <c r="Y315" s="42" t="n"/>
    </row>
    <row r="316">
      <c r="C316" s="9" t="n"/>
      <c r="G316" s="35" t="n"/>
      <c r="H316" s="35" t="n"/>
      <c r="I316" s="36" t="n"/>
      <c r="J316" s="36" t="n"/>
      <c r="K316" s="36" t="n"/>
      <c r="L316" s="36" t="n"/>
      <c r="M316" s="36" t="n"/>
      <c r="N316" s="36" t="n"/>
      <c r="O316" s="36" t="n"/>
      <c r="P316" s="36" t="n"/>
      <c r="R316" s="35" t="n"/>
      <c r="S316" s="35" t="n"/>
      <c r="T316" s="35" t="n"/>
      <c r="U316" s="36" t="n"/>
      <c r="V316" s="36" t="n"/>
      <c r="W316" s="36" t="n"/>
      <c r="X316" s="36" t="n"/>
      <c r="Y316" s="36" t="n"/>
    </row>
    <row r="317">
      <c r="D317" s="2" t="n"/>
      <c r="I317" s="42" t="n"/>
      <c r="J317" s="42" t="n"/>
      <c r="K317" s="42" t="n"/>
      <c r="L317" s="42" t="n"/>
      <c r="M317" s="42" t="n"/>
      <c r="N317" s="42" t="n"/>
      <c r="O317" s="42" t="n"/>
      <c r="P317" s="42" t="n"/>
      <c r="U317" s="37" t="n"/>
      <c r="V317" s="37" t="n"/>
      <c r="W317" s="42" t="n"/>
      <c r="X317" s="42" t="n"/>
      <c r="Y317" s="42" t="n"/>
      <c r="AC317" s="8" t="n"/>
    </row>
    <row r="318">
      <c r="B318" s="13" t="n"/>
      <c r="G318" s="40" t="n"/>
      <c r="H318" s="40" t="n"/>
      <c r="I318" s="40" t="n"/>
      <c r="J318" s="40" t="n"/>
      <c r="K318" s="40" t="n"/>
      <c r="L318" s="40" t="n"/>
      <c r="M318" s="40" t="n"/>
      <c r="N318" s="40" t="n"/>
      <c r="O318" s="40" t="n"/>
      <c r="P318" s="40" t="n"/>
      <c r="R318" s="40" t="n"/>
      <c r="S318" s="40" t="n"/>
      <c r="T318" s="40" t="n"/>
      <c r="U318" s="40" t="n"/>
      <c r="V318" s="40" t="n"/>
      <c r="W318" s="40" t="n"/>
      <c r="X318" s="40" t="n"/>
      <c r="Y318" s="40" t="n"/>
    </row>
    <row r="319"/>
    <row r="320">
      <c r="A320" s="12" t="n"/>
      <c r="B320" s="13" t="n"/>
      <c r="G320" s="40" t="n"/>
      <c r="H320" s="40" t="n"/>
      <c r="I320" s="40" t="n"/>
      <c r="J320" s="40" t="n"/>
      <c r="K320" s="40" t="n"/>
      <c r="L320" s="40" t="n"/>
      <c r="M320" s="40" t="n"/>
      <c r="N320" s="40" t="n"/>
      <c r="O320" s="40" t="n"/>
      <c r="P320" s="40" t="n"/>
      <c r="R320" s="40" t="n"/>
      <c r="S320" s="40" t="n"/>
      <c r="T320" s="40" t="n"/>
      <c r="U320" s="40" t="n"/>
      <c r="V320" s="40" t="n"/>
      <c r="W320" s="40" t="n"/>
      <c r="X320" s="40" t="n"/>
      <c r="Y320" s="40" t="n"/>
    </row>
    <row r="321"/>
    <row r="322">
      <c r="D322" s="9" t="n"/>
      <c r="I322" s="42" t="n"/>
      <c r="J322" s="42" t="n"/>
      <c r="K322" s="42" t="n"/>
      <c r="L322" s="42" t="n"/>
      <c r="M322" s="42" t="n"/>
      <c r="N322" s="42" t="n"/>
      <c r="O322" s="42" t="n"/>
      <c r="P322" s="42" t="n"/>
      <c r="U322" s="42" t="n"/>
      <c r="V322" s="42" t="n"/>
      <c r="W322" s="42" t="n"/>
      <c r="X322" s="42" t="n"/>
      <c r="Y322" s="42" t="n"/>
    </row>
    <row r="323">
      <c r="D323" s="9" t="n"/>
      <c r="I323" s="42" t="n"/>
      <c r="J323" s="42" t="n"/>
      <c r="K323" s="42" t="n"/>
      <c r="L323" s="42" t="n"/>
      <c r="M323" s="42" t="n"/>
      <c r="N323" s="42" t="n"/>
      <c r="O323" s="42" t="n"/>
      <c r="P323" s="42" t="n"/>
      <c r="U323" s="42" t="n"/>
      <c r="V323" s="42" t="n"/>
      <c r="W323" s="42" t="n"/>
      <c r="X323" s="42" t="n"/>
      <c r="Y323" s="42" t="n"/>
    </row>
    <row r="324">
      <c r="D324" s="9" t="n"/>
      <c r="G324" s="37" t="n"/>
      <c r="H324" s="37" t="n"/>
      <c r="I324" s="42" t="n"/>
      <c r="J324" s="42" t="n"/>
      <c r="K324" s="42" t="n"/>
      <c r="L324" s="42" t="n"/>
      <c r="M324" s="42" t="n"/>
      <c r="N324" s="42" t="n"/>
      <c r="O324" s="42" t="n"/>
      <c r="P324" s="42" t="n"/>
      <c r="R324" s="37" t="n"/>
      <c r="S324" s="37" t="n"/>
      <c r="T324" s="37" t="n"/>
      <c r="W324" s="42" t="n"/>
      <c r="X324" s="42" t="n"/>
      <c r="Y324" s="42" t="n"/>
    </row>
    <row r="325">
      <c r="D325" s="9" t="n"/>
      <c r="G325" s="37" t="n"/>
      <c r="H325" s="37" t="n"/>
      <c r="I325" s="42" t="n"/>
      <c r="J325" s="42" t="n"/>
      <c r="K325" s="42" t="n"/>
      <c r="L325" s="42" t="n"/>
      <c r="M325" s="42" t="n"/>
      <c r="N325" s="42" t="n"/>
      <c r="O325" s="42" t="n"/>
      <c r="P325" s="42" t="n"/>
      <c r="R325" s="37" t="n"/>
      <c r="S325" s="37" t="n"/>
      <c r="T325" s="37" t="n"/>
      <c r="W325" s="42" t="n"/>
      <c r="X325" s="42" t="n"/>
      <c r="Y325" s="42" t="n"/>
      <c r="AB325" s="42" t="n"/>
      <c r="AC325" s="8" t="n"/>
    </row>
    <row r="326"/>
    <row r="327">
      <c r="D327" s="8" t="n"/>
      <c r="G327" s="50" t="n"/>
      <c r="H327" s="50" t="n"/>
      <c r="R327" s="50" t="n"/>
      <c r="S327" s="50" t="n"/>
      <c r="T327" s="50" t="n"/>
    </row>
    <row r="328">
      <c r="D328" s="8" t="n"/>
      <c r="G328" s="50" t="n"/>
      <c r="H328" s="50" t="n"/>
      <c r="R328" s="50" t="n"/>
      <c r="S328" s="50" t="n"/>
      <c r="T328" s="50" t="n"/>
    </row>
    <row r="329">
      <c r="D329" s="8" t="n"/>
      <c r="G329" s="38" t="n"/>
      <c r="H329" s="38" t="n"/>
      <c r="R329" s="38" t="n"/>
      <c r="S329" s="38" t="n"/>
      <c r="T329" s="38" t="n"/>
    </row>
    <row r="330"/>
    <row r="331"/>
    <row r="332"/>
    <row r="333">
      <c r="B333" s="51" t="n"/>
      <c r="C333" s="51" t="n"/>
      <c r="D333" s="51" t="n"/>
      <c r="E333" s="51" t="n"/>
      <c r="F333" s="51" t="n"/>
      <c r="G333" s="51" t="n"/>
      <c r="H333" s="51" t="n"/>
      <c r="I333" s="51" t="n"/>
      <c r="J333" s="51" t="n"/>
      <c r="K333" s="51" t="n"/>
      <c r="L333" s="51" t="n"/>
      <c r="M333" s="51" t="n"/>
      <c r="N333" s="51" t="n"/>
      <c r="O333" s="51" t="n"/>
      <c r="P333" s="51" t="n"/>
      <c r="R333" s="51" t="n"/>
      <c r="S333" s="51" t="n"/>
      <c r="T333" s="51" t="n"/>
      <c r="U333" s="51" t="n"/>
      <c r="V333" s="51" t="n"/>
      <c r="W333" s="51" t="n"/>
      <c r="X333" s="51" t="n"/>
      <c r="Y333" s="51" t="n"/>
    </row>
    <row r="334">
      <c r="C334" s="8" t="n"/>
    </row>
    <row r="335"/>
    <row r="336">
      <c r="D336" s="9" t="n"/>
      <c r="G336" s="23" t="n"/>
      <c r="H336" s="23" t="n"/>
      <c r="I336" s="50" t="n"/>
      <c r="J336" s="50" t="n"/>
      <c r="K336" s="50" t="n"/>
      <c r="L336" s="50" t="n"/>
      <c r="M336" s="50" t="n"/>
      <c r="N336" s="50" t="n"/>
      <c r="O336" s="50" t="n"/>
      <c r="P336" s="50" t="n"/>
      <c r="R336" s="23" t="n"/>
      <c r="S336" s="23" t="n"/>
      <c r="T336" s="23" t="n"/>
      <c r="U336" s="23" t="n"/>
      <c r="V336" s="23" t="n"/>
      <c r="W336" s="50" t="n"/>
      <c r="X336" s="50" t="n"/>
      <c r="Y336" s="50" t="n"/>
    </row>
    <row r="337">
      <c r="D337" s="9" t="n"/>
      <c r="G337" s="23" t="n"/>
      <c r="H337" s="23" t="n"/>
      <c r="I337" s="50" t="n"/>
      <c r="J337" s="50" t="n"/>
      <c r="K337" s="50" t="n"/>
      <c r="L337" s="50" t="n"/>
      <c r="M337" s="50" t="n"/>
      <c r="N337" s="50" t="n"/>
      <c r="O337" s="50" t="n"/>
      <c r="P337" s="50" t="n"/>
      <c r="R337" s="23" t="n"/>
      <c r="S337" s="23" t="n"/>
      <c r="T337" s="23" t="n"/>
      <c r="U337" s="23" t="n"/>
      <c r="V337" s="23" t="n"/>
      <c r="W337" s="50" t="n"/>
      <c r="X337" s="50" t="n"/>
      <c r="Y337" s="50" t="n"/>
    </row>
    <row r="338">
      <c r="D338" s="9" t="n"/>
      <c r="G338" s="23" t="n"/>
      <c r="H338" s="23" t="n"/>
      <c r="I338" s="50" t="n"/>
      <c r="J338" s="50" t="n"/>
      <c r="K338" s="50" t="n"/>
      <c r="L338" s="50" t="n"/>
      <c r="M338" s="50" t="n"/>
      <c r="N338" s="50" t="n"/>
      <c r="O338" s="50" t="n"/>
      <c r="P338" s="50" t="n"/>
      <c r="R338" s="23" t="n"/>
      <c r="S338" s="23" t="n"/>
      <c r="T338" s="23" t="n"/>
      <c r="U338" s="23" t="n"/>
      <c r="V338" s="23" t="n"/>
      <c r="W338" s="50" t="n"/>
      <c r="X338" s="50" t="n"/>
      <c r="Y338" s="50" t="n"/>
    </row>
    <row r="339">
      <c r="D339" s="9" t="n"/>
      <c r="G339" s="23" t="n"/>
      <c r="H339" s="23" t="n"/>
      <c r="I339" s="50" t="n"/>
      <c r="J339" s="50" t="n"/>
      <c r="K339" s="50" t="n"/>
      <c r="L339" s="50" t="n"/>
      <c r="M339" s="50" t="n"/>
      <c r="N339" s="50" t="n"/>
      <c r="O339" s="50" t="n"/>
      <c r="P339" s="50" t="n"/>
      <c r="R339" s="23" t="n"/>
      <c r="S339" s="23" t="n"/>
      <c r="T339" s="23" t="n"/>
      <c r="U339" s="23" t="n"/>
      <c r="V339" s="23" t="n"/>
      <c r="W339" s="50" t="n"/>
      <c r="X339" s="50" t="n"/>
      <c r="Y339" s="50" t="n"/>
    </row>
    <row r="340">
      <c r="D340" s="9" t="n"/>
      <c r="G340" s="37" t="n"/>
      <c r="H340" s="37" t="n"/>
      <c r="I340" s="42" t="n"/>
      <c r="J340" s="42" t="n"/>
      <c r="K340" s="42" t="n"/>
      <c r="L340" s="42" t="n"/>
      <c r="M340" s="42" t="n"/>
      <c r="N340" s="42" t="n"/>
      <c r="O340" s="42" t="n"/>
      <c r="P340" s="42" t="n"/>
      <c r="R340" s="37" t="n"/>
      <c r="S340" s="37" t="n"/>
      <c r="T340" s="37" t="n"/>
      <c r="U340" s="37" t="n"/>
      <c r="V340" s="37" t="n"/>
      <c r="W340" s="42" t="n"/>
      <c r="X340" s="42" t="n"/>
      <c r="Y340" s="42" t="n"/>
    </row>
    <row r="341">
      <c r="D341" s="9" t="n"/>
      <c r="G341" s="37" t="n"/>
      <c r="H341" s="37" t="n"/>
      <c r="I341" s="42" t="n"/>
      <c r="J341" s="42" t="n"/>
      <c r="K341" s="42" t="n"/>
      <c r="L341" s="42" t="n"/>
      <c r="M341" s="42" t="n"/>
      <c r="N341" s="42" t="n"/>
      <c r="O341" s="42" t="n"/>
      <c r="P341" s="42" t="n"/>
      <c r="R341" s="37" t="n"/>
      <c r="S341" s="37" t="n"/>
      <c r="T341" s="37" t="n"/>
      <c r="U341" s="37" t="n"/>
      <c r="V341" s="37" t="n"/>
      <c r="W341" s="42" t="n"/>
      <c r="X341" s="42" t="n"/>
      <c r="Y341" s="42" t="n"/>
    </row>
    <row r="342">
      <c r="D342" s="9" t="n"/>
      <c r="G342" s="37" t="n"/>
      <c r="H342" s="37" t="n"/>
      <c r="I342" s="42" t="n"/>
      <c r="J342" s="42" t="n"/>
      <c r="K342" s="42" t="n"/>
      <c r="L342" s="42" t="n"/>
      <c r="M342" s="42" t="n"/>
      <c r="N342" s="42" t="n"/>
      <c r="O342" s="42" t="n"/>
      <c r="P342" s="42" t="n"/>
      <c r="R342" s="37" t="n"/>
      <c r="S342" s="37" t="n"/>
      <c r="T342" s="37" t="n"/>
      <c r="U342" s="37" t="n"/>
      <c r="V342" s="37" t="n"/>
      <c r="W342" s="42" t="n"/>
      <c r="X342" s="42" t="n"/>
      <c r="Y342" s="42" t="n"/>
    </row>
    <row r="343">
      <c r="D343" s="9" t="n"/>
      <c r="G343" s="37" t="n"/>
      <c r="H343" s="37" t="n"/>
      <c r="I343" s="42" t="n"/>
      <c r="J343" s="42" t="n"/>
      <c r="K343" s="42" t="n"/>
      <c r="L343" s="42" t="n"/>
      <c r="M343" s="42" t="n"/>
      <c r="N343" s="42" t="n"/>
      <c r="O343" s="42" t="n"/>
      <c r="P343" s="42" t="n"/>
      <c r="R343" s="37" t="n"/>
      <c r="S343" s="37" t="n"/>
      <c r="T343" s="37" t="n"/>
      <c r="U343" s="37" t="n"/>
      <c r="V343" s="37" t="n"/>
      <c r="W343" s="42" t="n"/>
      <c r="X343" s="42" t="n"/>
      <c r="Y343" s="42" t="n"/>
    </row>
    <row r="344"/>
    <row r="345">
      <c r="D345" s="9" t="n"/>
      <c r="I345" s="42" t="n"/>
      <c r="J345" s="42" t="n"/>
      <c r="K345" s="42" t="n"/>
      <c r="L345" s="42" t="n"/>
      <c r="M345" s="42" t="n"/>
      <c r="N345" s="42" t="n"/>
      <c r="O345" s="42" t="n"/>
      <c r="P345" s="42" t="n"/>
      <c r="U345" s="42" t="n"/>
      <c r="V345" s="42" t="n"/>
      <c r="W345" s="42" t="n"/>
      <c r="X345" s="42" t="n"/>
      <c r="Y345" s="42" t="n"/>
    </row>
    <row r="346">
      <c r="D346" s="9" t="n"/>
      <c r="I346" s="42" t="n"/>
      <c r="J346" s="42" t="n"/>
      <c r="K346" s="42" t="n"/>
      <c r="L346" s="42" t="n"/>
      <c r="M346" s="42" t="n"/>
      <c r="N346" s="42" t="n"/>
      <c r="O346" s="42" t="n"/>
      <c r="P346" s="42" t="n"/>
      <c r="U346" s="42" t="n"/>
      <c r="V346" s="42" t="n"/>
      <c r="W346" s="42" t="n"/>
      <c r="X346" s="42" t="n"/>
      <c r="Y346" s="42" t="n"/>
    </row>
    <row r="347">
      <c r="D347" s="2" t="n"/>
      <c r="I347" s="36" t="n"/>
      <c r="J347" s="36" t="n"/>
      <c r="K347" s="36" t="n"/>
      <c r="L347" s="36" t="n"/>
      <c r="M347" s="36" t="n"/>
      <c r="N347" s="36" t="n"/>
      <c r="O347" s="36" t="n"/>
      <c r="P347" s="36" t="n"/>
      <c r="U347" s="36" t="n"/>
      <c r="V347" s="36" t="n"/>
      <c r="W347" s="36" t="n"/>
      <c r="X347" s="36" t="n"/>
      <c r="Y347" s="36" t="n"/>
    </row>
    <row r="348">
      <c r="D348" s="2" t="n"/>
      <c r="I348" s="36" t="n"/>
      <c r="J348" s="36" t="n"/>
      <c r="K348" s="36" t="n"/>
      <c r="L348" s="36" t="n"/>
      <c r="M348" s="36" t="n"/>
      <c r="N348" s="36" t="n"/>
      <c r="O348" s="36" t="n"/>
      <c r="P348" s="36" t="n"/>
      <c r="U348" s="36" t="n"/>
      <c r="V348" s="36" t="n"/>
      <c r="W348" s="36" t="n"/>
      <c r="X348" s="36" t="n"/>
      <c r="Y348" s="36" t="n"/>
    </row>
    <row r="349"/>
    <row r="350">
      <c r="D350" s="2" t="n"/>
      <c r="I350" s="35" t="n"/>
      <c r="J350" s="35" t="n"/>
      <c r="K350" s="35" t="n"/>
      <c r="L350" s="35" t="n"/>
      <c r="M350" s="35" t="n"/>
      <c r="N350" s="35" t="n"/>
      <c r="O350" s="35" t="n"/>
      <c r="P350" s="35" t="n"/>
      <c r="U350" s="36" t="n"/>
      <c r="V350" s="36" t="n"/>
      <c r="W350" s="35" t="n"/>
      <c r="X350" s="35" t="n"/>
      <c r="Y350" s="35" t="n"/>
    </row>
    <row r="351"/>
    <row r="352"/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808080"/>
    <outlinePr summaryBelow="1" summaryRight="1"/>
    <pageSetUpPr/>
  </sheetPr>
  <dimension ref="A1:T35"/>
  <sheetViews>
    <sheetView showGridLines="0" zoomScale="85" workbookViewId="0">
      <selection activeCell="A1" sqref="A1"/>
    </sheetView>
  </sheetViews>
  <sheetFormatPr baseColWidth="8" defaultRowHeight="15"/>
  <cols>
    <col width="1.7" customWidth="1" min="1" max="1"/>
    <col width="2.4" customWidth="1" min="2" max="2"/>
    <col width="42" customWidth="1" min="3" max="3"/>
    <col width="1.7" customWidth="1" min="4" max="4"/>
  </cols>
  <sheetData>
    <row r="1">
      <c r="B1" s="28" t="inlineStr">
        <is>
          <t>As-Reported Subtotals (source-of-truth for reconciliation)</t>
        </is>
      </c>
    </row>
    <row r="2">
      <c r="B2" s="8" t="inlineStr">
        <is>
          <t>Hardcoded blue from the 424B4 (prospectus dated 2026-06-12); financials recon rows pull from here</t>
        </is>
      </c>
    </row>
    <row r="3"/>
    <row r="4"/>
    <row r="5">
      <c r="G5" s="13" t="inlineStr">
        <is>
          <t>1Q25</t>
        </is>
      </c>
      <c r="H5" s="13" t="inlineStr">
        <is>
          <t>1Q26</t>
        </is>
      </c>
      <c r="R5" s="13" t="n">
        <v>2023</v>
      </c>
      <c r="S5" s="13" t="n">
        <v>2024</v>
      </c>
      <c r="T5" s="13" t="n">
        <v>2025</v>
      </c>
    </row>
    <row r="6">
      <c r="G6" s="29" t="n">
        <v>45747</v>
      </c>
      <c r="H6" s="29" t="n">
        <v>46112</v>
      </c>
      <c r="R6" s="29" t="n">
        <v>45291</v>
      </c>
      <c r="S6" s="29" t="n">
        <v>45657</v>
      </c>
      <c r="T6" s="29" t="n">
        <v>46022</v>
      </c>
    </row>
    <row r="7"/>
    <row r="8">
      <c r="B8" s="30" t="inlineStr">
        <is>
          <t>Income Statement (filed)</t>
        </is>
      </c>
    </row>
    <row r="9">
      <c r="B9" s="13" t="inlineStr">
        <is>
          <t>Revenue (filed)</t>
        </is>
      </c>
      <c r="G9" s="35" t="n">
        <v>4067</v>
      </c>
      <c r="H9" s="35" t="n">
        <v>4694</v>
      </c>
      <c r="R9" s="35" t="n">
        <v>10387</v>
      </c>
      <c r="S9" s="35" t="n">
        <v>14015</v>
      </c>
      <c r="T9" s="35" t="n">
        <v>18674</v>
      </c>
    </row>
    <row r="10">
      <c r="B10" s="13" t="inlineStr">
        <is>
          <t>Total Costs and Expenses (filed, shown negative)</t>
        </is>
      </c>
      <c r="G10" s="35" t="n">
        <v>-4040</v>
      </c>
      <c r="H10" s="35" t="n">
        <v>-6637</v>
      </c>
      <c r="R10" s="35" t="n">
        <v>-13892</v>
      </c>
      <c r="S10" s="35" t="n">
        <v>-13549</v>
      </c>
      <c r="T10" s="35" t="n">
        <v>-21263</v>
      </c>
    </row>
    <row r="11">
      <c r="B11" s="13" t="inlineStr">
        <is>
          <t>Income (Loss) from Operations (filed)</t>
        </is>
      </c>
      <c r="G11" s="35" t="n">
        <v>27</v>
      </c>
      <c r="H11" s="35" t="n">
        <v>-1943</v>
      </c>
      <c r="R11" s="35" t="n">
        <v>-3505</v>
      </c>
      <c r="S11" s="35" t="n">
        <v>466</v>
      </c>
      <c r="T11" s="35" t="n">
        <v>-2589</v>
      </c>
    </row>
    <row r="12">
      <c r="B12" s="13" t="inlineStr">
        <is>
          <t>Income (Loss) Before Income Taxes (filed)</t>
        </is>
      </c>
      <c r="G12" s="35" t="n">
        <v>-514</v>
      </c>
      <c r="H12" s="35" t="n">
        <v>-4270</v>
      </c>
      <c r="R12" s="35" t="n">
        <v>-4991</v>
      </c>
      <c r="S12" s="35" t="n">
        <v>242</v>
      </c>
      <c r="T12" s="35" t="n">
        <v>-4219</v>
      </c>
    </row>
    <row r="13">
      <c r="B13" s="13" t="inlineStr">
        <is>
          <t>Net Income (Loss) (filed)</t>
        </is>
      </c>
      <c r="G13" s="35" t="n">
        <v>-528</v>
      </c>
      <c r="H13" s="35" t="n">
        <v>-4276</v>
      </c>
      <c r="R13" s="35" t="n">
        <v>-4628</v>
      </c>
      <c r="S13" s="35" t="n">
        <v>791</v>
      </c>
      <c r="T13" s="35" t="n">
        <v>-4937</v>
      </c>
    </row>
    <row r="14">
      <c r="B14" s="13" t="inlineStr">
        <is>
          <t>NI Attributable to Common — Basic (filed)</t>
        </is>
      </c>
      <c r="G14" s="35" t="n">
        <v>-528</v>
      </c>
      <c r="H14" s="35" t="n">
        <v>-4947</v>
      </c>
      <c r="R14" s="35" t="n">
        <v>-4628</v>
      </c>
      <c r="S14" s="35" t="n">
        <v>18</v>
      </c>
      <c r="T14" s="35" t="n">
        <v>-4937</v>
      </c>
    </row>
    <row r="15">
      <c r="B15" s="13" t="inlineStr">
        <is>
          <t>NI Attributable to Common — Diluted (filed)</t>
        </is>
      </c>
      <c r="G15" s="35" t="n">
        <v>-528</v>
      </c>
      <c r="H15" s="35" t="n">
        <v>-4947</v>
      </c>
      <c r="R15" s="35" t="n">
        <v>-4628</v>
      </c>
      <c r="S15" s="35" t="n">
        <v>21</v>
      </c>
      <c r="T15" s="35" t="n">
        <v>-4937</v>
      </c>
    </row>
    <row r="16">
      <c r="B16" s="13" t="inlineStr">
        <is>
          <t>EPS — Basic (filed)</t>
        </is>
      </c>
      <c r="G16" s="31" t="n">
        <v>-0.18</v>
      </c>
      <c r="H16" s="31" t="n">
        <v>-1.27</v>
      </c>
      <c r="R16" s="31" t="n">
        <v>-1.68</v>
      </c>
      <c r="S16" s="31" t="n">
        <v>0.01</v>
      </c>
      <c r="T16" s="31" t="n">
        <v>-1.69</v>
      </c>
    </row>
    <row r="17">
      <c r="B17" s="13" t="inlineStr">
        <is>
          <t>EPS — Diluted (filed)</t>
        </is>
      </c>
      <c r="G17" s="31" t="n">
        <v>-0.18</v>
      </c>
      <c r="H17" s="31" t="n">
        <v>-1.27</v>
      </c>
      <c r="R17" s="31" t="n">
        <v>-1.68</v>
      </c>
      <c r="S17" s="31" t="n">
        <v>0</v>
      </c>
      <c r="T17" s="31" t="n">
        <v>-1.69</v>
      </c>
    </row>
    <row r="18">
      <c r="B18" s="13" t="inlineStr">
        <is>
          <t>Adjusted EBITDA (filed non-GAAP)</t>
        </is>
      </c>
      <c r="G18" s="35" t="n">
        <v>1730</v>
      </c>
      <c r="H18" s="35" t="n">
        <v>1127</v>
      </c>
      <c r="R18" s="35" t="n">
        <v>3821</v>
      </c>
      <c r="S18" s="35" t="n">
        <v>5350</v>
      </c>
      <c r="T18" s="35" t="n">
        <v>6584</v>
      </c>
    </row>
    <row r="19"/>
    <row r="20"/>
    <row r="21">
      <c r="B21" s="30" t="inlineStr">
        <is>
          <t>Balance Sheet (filed)</t>
        </is>
      </c>
    </row>
    <row r="22">
      <c r="B22" s="13" t="inlineStr">
        <is>
          <t>Total Current Assets (filed)</t>
        </is>
      </c>
      <c r="G22" s="43" t="n"/>
      <c r="H22" s="35" t="n">
        <v>29732</v>
      </c>
      <c r="R22" s="43" t="n"/>
      <c r="S22" s="35" t="n">
        <v>16108</v>
      </c>
      <c r="T22" s="35" t="n">
        <v>30952</v>
      </c>
    </row>
    <row r="23">
      <c r="B23" s="13" t="inlineStr">
        <is>
          <t>Total Assets (filed)</t>
        </is>
      </c>
      <c r="G23" s="43" t="n"/>
      <c r="H23" s="35" t="n">
        <v>102094</v>
      </c>
      <c r="R23" s="43" t="n"/>
      <c r="S23" s="35" t="n">
        <v>57062</v>
      </c>
      <c r="T23" s="35" t="n">
        <v>92079</v>
      </c>
    </row>
    <row r="24">
      <c r="B24" s="13" t="inlineStr">
        <is>
          <t>Total Current Liabilities (filed)</t>
        </is>
      </c>
      <c r="G24" s="43" t="n"/>
      <c r="H24" s="35" t="n">
        <v>24436</v>
      </c>
      <c r="R24" s="43" t="n"/>
      <c r="S24" s="35" t="n">
        <v>11791</v>
      </c>
      <c r="T24" s="35" t="n">
        <v>21400</v>
      </c>
    </row>
    <row r="25">
      <c r="B25" s="13" t="inlineStr">
        <is>
          <t>Total Liabilities (filed)</t>
        </is>
      </c>
      <c r="G25" s="43" t="n"/>
      <c r="H25" s="35" t="n">
        <v>60512</v>
      </c>
      <c r="R25" s="43" t="n"/>
      <c r="S25" s="35" t="n">
        <v>31258</v>
      </c>
      <c r="T25" s="35" t="n">
        <v>50754</v>
      </c>
    </row>
    <row r="26">
      <c r="B26" s="13" t="inlineStr">
        <is>
          <t>Total Shareholders' Equity (filed)</t>
        </is>
      </c>
      <c r="G26" s="43" t="n"/>
      <c r="H26" s="35" t="n">
        <v>34533</v>
      </c>
      <c r="R26" s="43" t="n"/>
      <c r="S26" s="35" t="n">
        <v>4863</v>
      </c>
      <c r="T26" s="35" t="n">
        <v>2573</v>
      </c>
    </row>
    <row r="27">
      <c r="B27" s="13" t="inlineStr">
        <is>
          <t>Total Liabilities, Preferred &amp; Equity (filed)</t>
        </is>
      </c>
      <c r="G27" s="43" t="n"/>
      <c r="H27" s="35" t="n">
        <v>102094</v>
      </c>
      <c r="R27" s="43" t="n"/>
      <c r="S27" s="35" t="n">
        <v>57062</v>
      </c>
      <c r="T27" s="35" t="n">
        <v>92079</v>
      </c>
    </row>
    <row r="28"/>
    <row r="29"/>
    <row r="30">
      <c r="B30" s="30" t="inlineStr">
        <is>
          <t>Cash Flow (filed)</t>
        </is>
      </c>
    </row>
    <row r="31">
      <c r="B31" s="13" t="inlineStr">
        <is>
          <t>CFO (filed)</t>
        </is>
      </c>
      <c r="G31" s="35" t="n">
        <v>727</v>
      </c>
      <c r="H31" s="35" t="n">
        <v>1047</v>
      </c>
      <c r="R31" s="35" t="n">
        <v>4520</v>
      </c>
      <c r="S31" s="35" t="n">
        <v>5776</v>
      </c>
      <c r="T31" s="35" t="n">
        <v>6785</v>
      </c>
    </row>
    <row r="32">
      <c r="B32" s="13" t="inlineStr">
        <is>
          <t>CFI (filed)</t>
        </is>
      </c>
      <c r="G32" s="35" t="n">
        <v>-4170</v>
      </c>
      <c r="H32" s="35" t="n">
        <v>-16724</v>
      </c>
      <c r="R32" s="35" t="n">
        <v>-4867</v>
      </c>
      <c r="S32" s="35" t="n">
        <v>-10796</v>
      </c>
      <c r="T32" s="35" t="n">
        <v>-19575</v>
      </c>
    </row>
    <row r="33">
      <c r="B33" s="13" t="inlineStr">
        <is>
          <t>CFF (filed)</t>
        </is>
      </c>
      <c r="G33" s="35" t="n">
        <v>354</v>
      </c>
      <c r="H33" s="35" t="n">
        <v>7125</v>
      </c>
      <c r="R33" s="35" t="n">
        <v>422</v>
      </c>
      <c r="S33" s="35" t="n">
        <v>11830</v>
      </c>
      <c r="T33" s="35" t="n">
        <v>26350</v>
      </c>
    </row>
    <row r="34">
      <c r="B34" s="13" t="inlineStr">
        <is>
          <t>Net Change in Cash (filed)</t>
        </is>
      </c>
      <c r="G34" s="35" t="n">
        <v>-3019</v>
      </c>
      <c r="H34" s="35" t="n">
        <v>-8516</v>
      </c>
      <c r="R34" s="35" t="n">
        <v>73</v>
      </c>
      <c r="S34" s="35" t="n">
        <v>6811</v>
      </c>
      <c r="T34" s="35" t="n">
        <v>13623</v>
      </c>
    </row>
    <row r="35">
      <c r="B35" s="13" t="inlineStr">
        <is>
          <t>Cash &amp; Restricted Cash, End (filed)</t>
        </is>
      </c>
      <c r="G35" s="35" t="n">
        <v>8482</v>
      </c>
      <c r="H35" s="35" t="n">
        <v>16608</v>
      </c>
      <c r="R35" s="35" t="n">
        <v>4690</v>
      </c>
      <c r="S35" s="35" t="n">
        <v>11501</v>
      </c>
      <c r="T35" s="35" t="n">
        <v>25124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0070C0"/>
    <outlinePr summaryBelow="1" summaryRight="1"/>
    <pageSetUpPr/>
  </sheetPr>
  <dimension ref="A1:F14"/>
  <sheetViews>
    <sheetView showGridLines="0" zoomScale="85" workbookViewId="0">
      <selection activeCell="A1" sqref="A1"/>
    </sheetView>
  </sheetViews>
  <sheetFormatPr baseColWidth="8" defaultRowHeight="15"/>
  <cols>
    <col width="1.7" customWidth="1" min="1" max="1"/>
    <col width="2.4" customWidth="1" min="2" max="2"/>
    <col width="25" customWidth="1" min="3" max="3"/>
    <col width="1.7" customWidth="1" min="4" max="4"/>
    <col width="4" customWidth="1" min="5" max="5"/>
    <col width="35" customWidth="1" min="6" max="6"/>
  </cols>
  <sheetData>
    <row r="1"/>
    <row r="2"/>
    <row r="3">
      <c r="A3" s="12" t="inlineStr">
        <is>
          <t>x</t>
        </is>
      </c>
      <c r="B3" s="13" t="inlineStr">
        <is>
          <t>Company Name</t>
        </is>
      </c>
      <c r="F3" s="32" t="inlineStr">
        <is>
          <t>SpaceX</t>
        </is>
      </c>
    </row>
    <row r="4"/>
    <row r="5">
      <c r="B5" t="inlineStr">
        <is>
          <t>Sub-header</t>
        </is>
      </c>
      <c r="F5" s="32" t="inlineStr">
        <is>
          <t>Dollars in millions, except per share</t>
        </is>
      </c>
    </row>
    <row r="6"/>
    <row r="7">
      <c r="B7" t="inlineStr">
        <is>
          <t>Last Fiscal Year End</t>
        </is>
      </c>
      <c r="F7" s="33" t="n">
        <v>46022</v>
      </c>
    </row>
    <row r="8"/>
    <row r="9">
      <c r="B9" t="inlineStr">
        <is>
          <t>Today</t>
        </is>
      </c>
      <c r="F9" s="29" t="n">
        <v>46207.52086642361</v>
      </c>
    </row>
    <row r="10"/>
    <row r="11"/>
    <row r="12">
      <c r="B12" t="inlineStr">
        <is>
          <t>Minimum Cash %</t>
        </is>
      </c>
      <c r="F12" s="42" t="n">
        <v>0.25</v>
      </c>
    </row>
    <row r="13"/>
    <row r="14">
      <c r="A14" s="12" t="inlineStr">
        <is>
          <t>x</t>
        </is>
      </c>
      <c r="B14" s="13" t="inlineStr">
        <is>
          <t>By Aardvark Labs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2026-07-04T19:30:02Z</dcterms:created>
  <dcterms:modified xmlns:dcterms="http://purl.org/dc/terms/" xmlns:xsi="http://www.w3.org/2001/XMLSchema-instance" xsi:type="dcterms:W3CDTF">2026-07-04T19:30:45Z</dcterms:modified>
</cp:coreProperties>
</file>