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financials" sheetId="1" state="visible" r:id="rId1"/>
    <sheet xmlns:r="http://schemas.openxmlformats.org/officeDocument/2006/relationships" name="_reported" sheetId="2" state="visible" r:id="rId2"/>
    <sheet xmlns:r="http://schemas.openxmlformats.org/officeDocument/2006/relationships" name="inputs" sheetId="3" state="visible" r:id="rId3"/>
  </sheets>
  <definedNames>
    <definedName name="Name">inputs!$F$3</definedName>
    <definedName name="Subheader">inputs!$F$5</definedName>
    <definedName name="FYE">inputs!$F$7</definedName>
  </definedNames>
  <calcPr calcId="124519" fullCalcOnLoad="1"/>
</workbook>
</file>

<file path=xl/styles.xml><?xml version="1.0" encoding="utf-8"?>
<styleSheet xmlns="http://schemas.openxmlformats.org/spreadsheetml/2006/main">
  <numFmts count="10">
    <numFmt numFmtId="164" formatCode="&quot;$&quot;#,##0.0_);(&quot;$&quot;#,##0.0)"/>
    <numFmt numFmtId="165" formatCode="#,##0.000_);(#,##0.000)"/>
    <numFmt numFmtId="166" formatCode="#,##0.0_);(#,##0.0)"/>
    <numFmt numFmtId="167" formatCode="#,##0.0%_);(#,##0.0%)"/>
    <numFmt numFmtId="168" formatCode="0.00&quot;x&quot;"/>
    <numFmt numFmtId="169" formatCode="0.0&quot; days&quot;"/>
    <numFmt numFmtId="170" formatCode="0.00&quot; M&quot;"/>
    <numFmt numFmtId="171" formatCode="&quot;$&quot;#,##0"/>
    <numFmt numFmtId="172" formatCode="&quot;$&quot;#,##0.0&quot; B&quot;"/>
    <numFmt numFmtId="173" formatCode="&quot;$&quot;#,##0&quot; M&quot;"/>
  </numFmts>
  <fonts count="14">
    <font>
      <name val="Calibri"/>
      <family val="2"/>
      <color theme="1"/>
      <sz val="11"/>
      <scheme val="minor"/>
    </font>
    <font>
      <name val="Arial"/>
      <color rgb="00FF0000"/>
      <sz val="7"/>
    </font>
    <font>
      <name val="Arial"/>
      <b val="1"/>
      <color rgb="00000000"/>
      <sz val="10"/>
    </font>
    <font>
      <name val="Arial"/>
      <color rgb="003366FF"/>
      <sz val="10"/>
    </font>
    <font>
      <name val="Arial"/>
      <b val="1"/>
      <color rgb="00000000"/>
      <sz val="12"/>
    </font>
    <font>
      <name val="Arial"/>
      <i val="1"/>
      <color rgb="00808080"/>
      <sz val="10"/>
    </font>
    <font>
      <name val="Arial"/>
      <b val="1"/>
      <color rgb="00000000"/>
      <sz val="14"/>
    </font>
    <font>
      <name val="Arial"/>
      <i val="1"/>
      <color rgb="00000000"/>
      <sz val="10"/>
    </font>
    <font>
      <name val="Arial"/>
      <color rgb="00000000"/>
      <sz val="10"/>
    </font>
    <font>
      <name val="Arial"/>
      <b val="1"/>
      <color rgb="00FFFFFF"/>
      <sz val="10"/>
    </font>
    <font>
      <name val="Arial"/>
      <b val="1"/>
      <color rgb="00FFFFFF"/>
      <sz val="12"/>
    </font>
    <font>
      <name val="Arial"/>
      <color rgb="0000AA00"/>
      <sz val="10"/>
    </font>
    <font>
      <name val="Arial"/>
      <b val="1"/>
      <color rgb="00FF0000"/>
      <sz val="10"/>
    </font>
    <font>
      <name val="Arial"/>
      <i val="1"/>
      <color rgb="003366FF"/>
      <sz val="10"/>
    </font>
  </fonts>
  <fills count="5">
    <fill>
      <patternFill/>
    </fill>
    <fill>
      <patternFill patternType="gray125"/>
    </fill>
    <fill>
      <patternFill patternType="solid">
        <fgColor rgb="00003082"/>
      </patternFill>
    </fill>
    <fill>
      <patternFill patternType="solid">
        <fgColor rgb="000E7C3F"/>
      </patternFill>
    </fill>
    <fill>
      <patternFill patternType="solid">
        <fgColor rgb="00B45309"/>
      </patternFill>
    </fill>
  </fills>
  <borders count="2">
    <border>
      <left/>
      <right/>
      <top/>
      <bottom/>
      <diagonal/>
    </border>
    <border>
      <top style="thin">
        <color rgb="00000000"/>
      </top>
    </border>
  </borders>
  <cellStyleXfs count="1">
    <xf numFmtId="0" fontId="0" fillId="0" borderId="0"/>
  </cellStyleXfs>
  <cellXfs count="61">
    <xf numFmtId="0" fontId="0" fillId="0" borderId="0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0" borderId="0" applyAlignment="1" pivotButton="0" quotePrefix="0" xfId="0">
      <alignment horizontal="center"/>
    </xf>
    <xf numFmtId="0" fontId="9" fillId="2" borderId="0" applyAlignment="1" pivotButton="0" quotePrefix="0" xfId="0">
      <alignment horizontal="centerContinuous"/>
    </xf>
    <xf numFmtId="0" fontId="2" fillId="0" borderId="0" applyAlignment="1" pivotButton="0" quotePrefix="0" xfId="0">
      <alignment horizontal="center"/>
    </xf>
    <xf numFmtId="14" fontId="8" fillId="0" borderId="0" applyAlignment="1" pivotButton="0" quotePrefix="0" xfId="0">
      <alignment horizontal="center"/>
    </xf>
    <xf numFmtId="0" fontId="10" fillId="2" borderId="0" applyAlignment="1" pivotButton="0" quotePrefix="0" xfId="0">
      <alignment horizontal="centerContinuous"/>
    </xf>
    <xf numFmtId="0" fontId="5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164" fontId="3" fillId="0" borderId="0" pivotButton="0" quotePrefix="0" xfId="0"/>
    <xf numFmtId="0" fontId="8" fillId="0" borderId="0" pivotButton="0" quotePrefix="0" xfId="0"/>
    <xf numFmtId="164" fontId="2" fillId="0" borderId="1" pivotButton="0" quotePrefix="0" xfId="0"/>
    <xf numFmtId="165" fontId="11" fillId="0" borderId="0" pivotButton="0" quotePrefix="0" xfId="0"/>
    <xf numFmtId="164" fontId="8" fillId="0" borderId="0" pivotButton="0" quotePrefix="0" xfId="0"/>
    <xf numFmtId="7" fontId="3" fillId="0" borderId="0" pivotButton="0" quotePrefix="0" xfId="0"/>
    <xf numFmtId="166" fontId="3" fillId="0" borderId="0" pivotButton="0" quotePrefix="0" xfId="0"/>
    <xf numFmtId="167" fontId="8" fillId="0" borderId="0" pivotButton="0" quotePrefix="0" xfId="0"/>
    <xf numFmtId="164" fontId="0" fillId="0" borderId="0" pivotButton="0" quotePrefix="0" xfId="0"/>
    <xf numFmtId="0" fontId="10" fillId="3" borderId="0" applyAlignment="1" pivotButton="0" quotePrefix="0" xfId="0">
      <alignment horizontal="centerContinuous"/>
    </xf>
    <xf numFmtId="0" fontId="12" fillId="0" borderId="0" pivotButton="0" quotePrefix="0" xfId="0"/>
    <xf numFmtId="165" fontId="12" fillId="0" borderId="0" pivotButton="0" quotePrefix="0" xfId="0"/>
    <xf numFmtId="168" fontId="8" fillId="0" borderId="0" pivotButton="0" quotePrefix="0" xfId="0"/>
    <xf numFmtId="169" fontId="8" fillId="0" borderId="0" pivotButton="0" quotePrefix="0" xfId="0"/>
    <xf numFmtId="0" fontId="10" fillId="4" borderId="0" applyAlignment="1" pivotButton="0" quotePrefix="0" xfId="0">
      <alignment horizontal="centerContinuous"/>
    </xf>
    <xf numFmtId="164" fontId="11" fillId="0" borderId="0" pivotButton="0" quotePrefix="0" xfId="0"/>
    <xf numFmtId="164" fontId="2" fillId="0" borderId="0" pivotButton="0" quotePrefix="0" xfId="0"/>
    <xf numFmtId="164" fontId="7" fillId="0" borderId="0" pivotButton="0" quotePrefix="0" xfId="0"/>
    <xf numFmtId="0" fontId="4" fillId="0" borderId="0" pivotButton="0" quotePrefix="0" xfId="0"/>
    <xf numFmtId="14" fontId="0" fillId="0" borderId="0" pivotButton="0" quotePrefix="0" xfId="0"/>
    <xf numFmtId="0" fontId="3" fillId="0" borderId="0" pivotButton="0" quotePrefix="0" xfId="0"/>
    <xf numFmtId="14" fontId="3" fillId="0" borderId="0" pivotButton="0" quotePrefix="0" xfId="0"/>
    <xf numFmtId="167" fontId="3" fillId="0" borderId="0" pivotButton="0" quotePrefix="0" xfId="0"/>
    <xf numFmtId="164" fontId="3" fillId="0" borderId="0" pivotButton="0" quotePrefix="0" xfId="0"/>
    <xf numFmtId="164" fontId="8" fillId="0" borderId="0" pivotButton="0" quotePrefix="0" xfId="0"/>
    <xf numFmtId="164" fontId="2" fillId="0" borderId="1" pivotButton="0" quotePrefix="0" xfId="0"/>
    <xf numFmtId="165" fontId="11" fillId="0" borderId="0" pivotButton="0" quotePrefix="0" xfId="0"/>
    <xf numFmtId="166" fontId="3" fillId="0" borderId="0" pivotButton="0" quotePrefix="0" xfId="0"/>
    <xf numFmtId="166" fontId="8" fillId="0" borderId="0" pivotButton="0" quotePrefix="0" xfId="0"/>
    <xf numFmtId="7" fontId="8" fillId="0" borderId="0" pivotButton="0" quotePrefix="0" xfId="0"/>
    <xf numFmtId="167" fontId="8" fillId="0" borderId="0" pivotButton="0" quotePrefix="0" xfId="0"/>
    <xf numFmtId="167" fontId="3" fillId="0" borderId="0" pivotButton="0" quotePrefix="0" xfId="0"/>
    <xf numFmtId="164" fontId="13" fillId="0" borderId="0" pivotButton="0" quotePrefix="0" xfId="0"/>
    <xf numFmtId="164" fontId="0" fillId="0" borderId="0" pivotButton="0" quotePrefix="0" xfId="0"/>
    <xf numFmtId="165" fontId="12" fillId="0" borderId="0" pivotButton="0" quotePrefix="0" xfId="0"/>
    <xf numFmtId="165" fontId="8" fillId="0" borderId="0" pivotButton="0" quotePrefix="0" xfId="0"/>
    <xf numFmtId="168" fontId="8" fillId="0" borderId="0" pivotButton="0" quotePrefix="0" xfId="0"/>
    <xf numFmtId="169" fontId="8" fillId="0" borderId="0" pivotButton="0" quotePrefix="0" xfId="0"/>
    <xf numFmtId="164" fontId="11" fillId="0" borderId="0" pivotButton="0" quotePrefix="0" xfId="0"/>
    <xf numFmtId="164" fontId="2" fillId="0" borderId="0" pivotButton="0" quotePrefix="0" xfId="0"/>
    <xf numFmtId="164" fontId="7" fillId="0" borderId="0" pivotButton="0" quotePrefix="0" xfId="0"/>
    <xf numFmtId="170" fontId="3" fillId="0" borderId="0" pivotButton="0" quotePrefix="0" xfId="0"/>
    <xf numFmtId="171" fontId="8" fillId="0" borderId="0" pivotButton="0" quotePrefix="0" xfId="0"/>
    <xf numFmtId="171" fontId="3" fillId="0" borderId="0" pivotButton="0" quotePrefix="0" xfId="0"/>
    <xf numFmtId="172" fontId="3" fillId="0" borderId="0" pivotButton="0" quotePrefix="0" xfId="0"/>
    <xf numFmtId="172" fontId="8" fillId="0" borderId="0" pivotButton="0" quotePrefix="0" xfId="0"/>
    <xf numFmtId="10" fontId="8" fillId="0" borderId="0" pivotButton="0" quotePrefix="0" xfId="0"/>
    <xf numFmtId="10" fontId="3" fillId="0" borderId="0" pivotButton="0" quotePrefix="0" xfId="0"/>
    <xf numFmtId="173" fontId="3" fillId="0" borderId="0" pivotButton="0" quotePrefix="0" xfId="0"/>
    <xf numFmtId="0" fontId="10" fillId="0" borderId="0" applyAlignment="1" pivotButton="0" quotePrefix="0" xfId="0">
      <alignment horizontal="centerContinuous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F2B5B"/>
    <outlinePr summaryBelow="1" summaryRight="1"/>
    <pageSetUpPr/>
  </sheetPr>
  <dimension ref="A1:AH292"/>
  <sheetViews>
    <sheetView showGridLines="0" zoomScale="85" workbookViewId="0">
      <pane xSplit="4" ySplit="6" topLeftCell="E7" activePane="bottomRight" state="frozen"/>
      <selection pane="topRight" activeCell="A1" sqref="A1"/>
      <selection pane="bottomLeft" activeCell="A1" sqref="A1"/>
      <selection pane="bottomRight" activeCell="A1" sqref="A1"/>
    </sheetView>
  </sheetViews>
  <sheetFormatPr baseColWidth="8" defaultRowHeight="15"/>
  <cols>
    <col width="1.7" customWidth="1" min="1" max="1"/>
    <col width="2.4" customWidth="1" min="2" max="2"/>
    <col width="2.4" customWidth="1" min="3" max="3"/>
    <col width="50" customWidth="1" min="4" max="4"/>
    <col width="4" customWidth="1" min="5" max="5"/>
    <col width="1.7" customWidth="1" min="6" max="6"/>
    <col width="12" customWidth="1" min="7" max="7"/>
    <col width="12" customWidth="1" min="8" max="8"/>
    <col width="12" customWidth="1" min="9" max="9"/>
    <col width="12" customWidth="1" min="10" max="10"/>
    <col width="12" customWidth="1" min="11" max="11"/>
    <col width="12" customWidth="1" min="12" max="12"/>
    <col width="12" customWidth="1" min="13" max="13"/>
    <col width="12" customWidth="1" min="14" max="14"/>
    <col width="12" customWidth="1" min="15" max="15"/>
    <col width="12" customWidth="1" min="16" max="16"/>
    <col width="12" customWidth="1" min="17" max="17"/>
    <col width="12" customWidth="1" min="18" max="18"/>
    <col width="12" customWidth="1" min="19" max="19"/>
    <col width="12" customWidth="1" min="20" max="20"/>
    <col width="12" customWidth="1" min="21" max="21"/>
    <col width="12" customWidth="1" min="22" max="22"/>
    <col width="1.7" customWidth="1" min="23" max="23"/>
    <col width="12" customWidth="1" min="24" max="24"/>
    <col width="12" customWidth="1" min="25" max="25"/>
    <col width="12" customWidth="1" min="26" max="26"/>
    <col width="12" customWidth="1" min="27" max="27"/>
    <col width="12" customWidth="1" min="28" max="28"/>
    <col width="12" customWidth="1" min="29" max="29"/>
    <col width="12" customWidth="1" min="30" max="30"/>
    <col width="12" customWidth="1" min="31" max="31"/>
    <col width="1.7" customWidth="1" min="32" max="32"/>
    <col width="10" customWidth="1" min="33" max="33"/>
    <col width="10" customWidth="1" min="34" max="34"/>
  </cols>
  <sheetData>
    <row r="1">
      <c r="B1" s="1">
        <f>"Income Statement, Balance Sheet, and Cash Flow Statement for "&amp;Name</f>
        <v/>
      </c>
    </row>
    <row r="2">
      <c r="B2" s="2">
        <f>Subheader</f>
        <v/>
      </c>
    </row>
    <row r="3">
      <c r="AG3" s="3">
        <f>AA5&amp;" - "&amp;AE5</f>
        <v/>
      </c>
    </row>
    <row r="4">
      <c r="B4" s="4" t="n"/>
      <c r="C4" s="4" t="n"/>
      <c r="D4" s="4" t="n"/>
      <c r="E4" s="4" t="n"/>
      <c r="F4" s="4" t="n"/>
      <c r="G4" s="4" t="inlineStr">
        <is>
          <t>Historical Quarters</t>
        </is>
      </c>
      <c r="H4" s="4" t="n"/>
      <c r="I4" s="4" t="n"/>
      <c r="J4" s="4" t="n"/>
      <c r="K4" s="4" t="n"/>
      <c r="L4" s="4" t="n"/>
      <c r="M4" s="4" t="n"/>
      <c r="N4" s="4" t="n"/>
      <c r="O4" s="4" t="inlineStr">
        <is>
          <t>Projected Quarters</t>
        </is>
      </c>
      <c r="P4" s="4" t="n"/>
      <c r="Q4" s="4" t="n"/>
      <c r="R4" s="4" t="n"/>
      <c r="S4" s="4" t="n"/>
      <c r="T4" s="4" t="n"/>
      <c r="U4" s="4" t="n"/>
      <c r="V4" s="4" t="n"/>
      <c r="X4" s="4" t="inlineStr">
        <is>
          <t>Historical Annuals</t>
        </is>
      </c>
      <c r="Y4" s="4" t="n"/>
      <c r="Z4" s="4" t="n"/>
      <c r="AA4" s="4" t="inlineStr">
        <is>
          <t>Projected Annuals</t>
        </is>
      </c>
      <c r="AB4" s="4" t="n"/>
      <c r="AC4" s="4" t="n"/>
      <c r="AD4" s="4" t="n"/>
      <c r="AE4" s="4" t="n"/>
      <c r="AG4" s="5" t="inlineStr">
        <is>
          <t>CAGR</t>
        </is>
      </c>
      <c r="AH4" s="5" t="inlineStr">
        <is>
          <t>Step</t>
        </is>
      </c>
    </row>
    <row r="5">
      <c r="G5" s="5" t="inlineStr">
        <is>
          <t>1Q24</t>
        </is>
      </c>
      <c r="H5" s="5" t="inlineStr">
        <is>
          <t>2Q24</t>
        </is>
      </c>
      <c r="I5" s="5" t="inlineStr">
        <is>
          <t>3Q24</t>
        </is>
      </c>
      <c r="J5" s="5" t="inlineStr">
        <is>
          <t>4Q24</t>
        </is>
      </c>
      <c r="K5" s="5" t="inlineStr">
        <is>
          <t>1Q25</t>
        </is>
      </c>
      <c r="L5" s="5" t="inlineStr">
        <is>
          <t>2Q25</t>
        </is>
      </c>
      <c r="M5" s="5" t="inlineStr">
        <is>
          <t>3Q25</t>
        </is>
      </c>
      <c r="N5" s="5" t="inlineStr">
        <is>
          <t>4Q25</t>
        </is>
      </c>
      <c r="O5" s="5" t="inlineStr">
        <is>
          <t>1Q26</t>
        </is>
      </c>
      <c r="P5" s="5" t="inlineStr">
        <is>
          <t>2Q26</t>
        </is>
      </c>
      <c r="Q5" s="5" t="inlineStr">
        <is>
          <t>3Q26E</t>
        </is>
      </c>
      <c r="R5" s="5" t="inlineStr">
        <is>
          <t>4Q26E</t>
        </is>
      </c>
      <c r="S5" s="5" t="inlineStr">
        <is>
          <t>1Q27E</t>
        </is>
      </c>
      <c r="T5" s="5" t="inlineStr">
        <is>
          <t>2Q27E</t>
        </is>
      </c>
      <c r="U5" s="5" t="inlineStr">
        <is>
          <t>3Q27E</t>
        </is>
      </c>
      <c r="V5" s="5" t="inlineStr">
        <is>
          <t>4Q27E</t>
        </is>
      </c>
      <c r="X5" s="5" t="n">
        <v>2023</v>
      </c>
      <c r="Y5" s="5" t="n">
        <v>2024</v>
      </c>
      <c r="Z5" s="5" t="n">
        <v>2025</v>
      </c>
      <c r="AA5" s="5" t="inlineStr">
        <is>
          <t>2026E</t>
        </is>
      </c>
      <c r="AB5" s="5" t="inlineStr">
        <is>
          <t>2027E</t>
        </is>
      </c>
      <c r="AC5" s="5" t="inlineStr">
        <is>
          <t>2028E</t>
        </is>
      </c>
      <c r="AD5" s="5" t="inlineStr">
        <is>
          <t>2029E</t>
        </is>
      </c>
      <c r="AE5" s="5" t="inlineStr">
        <is>
          <t>2030E</t>
        </is>
      </c>
    </row>
    <row r="6">
      <c r="G6" s="6" t="n">
        <v>45473</v>
      </c>
      <c r="H6" s="6" t="n">
        <v>45565</v>
      </c>
      <c r="I6" s="6" t="n">
        <v>45657</v>
      </c>
      <c r="J6" s="6" t="n">
        <v>45747</v>
      </c>
      <c r="K6" s="6" t="n">
        <v>45838</v>
      </c>
      <c r="L6" s="6" t="n">
        <v>45930</v>
      </c>
      <c r="M6" s="6" t="n">
        <v>46022</v>
      </c>
      <c r="N6" s="6" t="n">
        <v>46112</v>
      </c>
      <c r="O6" s="6" t="n">
        <v>46112</v>
      </c>
      <c r="P6" s="6" t="n">
        <v>46203</v>
      </c>
      <c r="Q6" s="6" t="n">
        <v>46295</v>
      </c>
      <c r="R6" s="6" t="n">
        <v>46387</v>
      </c>
      <c r="S6" s="6" t="n">
        <v>46477</v>
      </c>
      <c r="T6" s="6" t="n">
        <v>46568</v>
      </c>
      <c r="U6" s="6" t="n">
        <v>46660</v>
      </c>
      <c r="V6" s="6" t="n">
        <v>46752</v>
      </c>
      <c r="X6" s="6" t="n">
        <v>45291</v>
      </c>
      <c r="Y6" s="6" t="n">
        <v>45657</v>
      </c>
      <c r="Z6" s="6" t="n">
        <v>46022</v>
      </c>
      <c r="AA6" s="6" t="n">
        <v>46387</v>
      </c>
      <c r="AB6" s="6" t="n">
        <v>46752</v>
      </c>
      <c r="AC6" s="6" t="n">
        <v>47118</v>
      </c>
      <c r="AD6" s="6" t="n">
        <v>47483</v>
      </c>
      <c r="AE6" s="6" t="n">
        <v>47848</v>
      </c>
    </row>
    <row r="7"/>
    <row r="8">
      <c r="B8" s="7" t="inlineStr">
        <is>
          <t>Income Statement</t>
        </is>
      </c>
      <c r="C8" s="7" t="n"/>
      <c r="D8" s="7" t="n"/>
      <c r="E8" s="7" t="n"/>
      <c r="F8" s="7" t="n"/>
      <c r="G8" s="7" t="n"/>
      <c r="H8" s="7" t="n"/>
      <c r="I8" s="7" t="n"/>
      <c r="J8" s="7" t="n"/>
      <c r="K8" s="7" t="n"/>
      <c r="L8" s="7" t="n"/>
      <c r="M8" s="7" t="n"/>
      <c r="N8" s="7" t="n"/>
      <c r="O8" s="7" t="n"/>
      <c r="P8" s="7" t="n"/>
      <c r="Q8" s="7" t="n"/>
      <c r="R8" s="7" t="n"/>
      <c r="S8" s="7" t="n"/>
      <c r="T8" s="7" t="n"/>
      <c r="U8" s="7" t="n"/>
      <c r="V8" s="7" t="n"/>
      <c r="X8" s="7" t="n"/>
      <c r="Y8" s="7" t="n"/>
      <c r="Z8" s="7" t="n"/>
      <c r="AA8" s="7" t="n"/>
      <c r="AB8" s="7" t="n"/>
      <c r="AC8" s="7" t="n"/>
      <c r="AD8" s="7" t="n"/>
      <c r="AE8" s="7" t="n"/>
    </row>
    <row r="9">
      <c r="C9" s="8" t="inlineStr">
        <is>
          <t>Source: 10-K FY25 + S-1 (Q1 24/25) + 8-Ks (Q2/Q3/Q4 24+25). Sign convention: 'Less:' (expenses NEGATIVE).</t>
        </is>
      </c>
    </row>
    <row r="10">
      <c r="A10" s="9" t="inlineStr">
        <is>
          <t>x</t>
        </is>
      </c>
      <c r="B10" s="10" t="inlineStr">
        <is>
          <t>Revenue</t>
        </is>
      </c>
      <c r="G10" s="34" t="n">
        <v>384.214</v>
      </c>
      <c r="H10" s="34" t="n">
        <v>421.871</v>
      </c>
      <c r="I10" s="34" t="n">
        <v>475.212</v>
      </c>
      <c r="J10" s="34" t="n">
        <v>518.744</v>
      </c>
      <c r="K10" s="34" t="n">
        <v>528.149</v>
      </c>
      <c r="L10" s="34" t="n">
        <v>543.519</v>
      </c>
      <c r="M10" s="34" t="n">
        <v>596.3579999999999</v>
      </c>
      <c r="N10" s="34" t="n">
        <v>647.3869999999999</v>
      </c>
      <c r="O10" s="35">
        <f>O86</f>
        <v/>
      </c>
      <c r="P10" s="35">
        <f>P86</f>
        <v/>
      </c>
      <c r="Q10" s="35">
        <f>Q86</f>
        <v/>
      </c>
      <c r="R10" s="35">
        <f>R86</f>
        <v/>
      </c>
      <c r="S10" s="35">
        <f>S86</f>
        <v/>
      </c>
      <c r="T10" s="35">
        <f>T86</f>
        <v/>
      </c>
      <c r="U10" s="35">
        <f>U86</f>
        <v/>
      </c>
      <c r="V10" s="35">
        <f>V86</f>
        <v/>
      </c>
      <c r="X10" s="34" t="n">
        <v>1278.455</v>
      </c>
      <c r="Y10" s="34" t="n">
        <v>1673.269</v>
      </c>
      <c r="Z10" s="34" t="n">
        <v>2186.77</v>
      </c>
      <c r="AA10" s="35">
        <f>O10+P10+Q10+R10</f>
        <v/>
      </c>
      <c r="AB10" s="35">
        <f>S10+T10+U10+V10</f>
        <v/>
      </c>
      <c r="AC10" s="35">
        <f>AC86</f>
        <v/>
      </c>
      <c r="AD10" s="35">
        <f>AD86</f>
        <v/>
      </c>
      <c r="AE10" s="35">
        <f>AE86</f>
        <v/>
      </c>
    </row>
    <row r="11"/>
    <row r="12">
      <c r="D12" s="12" t="inlineStr">
        <is>
          <t>Less: Cost of Revenue</t>
        </is>
      </c>
      <c r="G12" s="34" t="n">
        <v>-50.504</v>
      </c>
      <c r="H12" s="34" t="n">
        <v>-53.516</v>
      </c>
      <c r="I12" s="34" t="n">
        <v>-56.044</v>
      </c>
      <c r="J12" s="34" t="n">
        <v>-60.418</v>
      </c>
      <c r="K12" s="34" t="n">
        <v>-67.12</v>
      </c>
      <c r="L12" s="34" t="n">
        <v>-69.401</v>
      </c>
      <c r="M12" s="34" t="n">
        <v>-66.108</v>
      </c>
      <c r="N12" s="34" t="n">
        <v>-67.074</v>
      </c>
      <c r="O12" s="35">
        <f>-O10*0.108</f>
        <v/>
      </c>
      <c r="P12" s="35">
        <f>-P10*0.105</f>
        <v/>
      </c>
      <c r="Q12" s="35">
        <f>-Q10*0.105</f>
        <v/>
      </c>
      <c r="R12" s="35">
        <f>-R10*0.105</f>
        <v/>
      </c>
      <c r="S12" s="35">
        <f>-S10*0.103</f>
        <v/>
      </c>
      <c r="T12" s="35">
        <f>-T10*0.102</f>
        <v/>
      </c>
      <c r="U12" s="35">
        <f>-U10*0.102</f>
        <v/>
      </c>
      <c r="V12" s="35">
        <f>-V10*0.1</f>
        <v/>
      </c>
      <c r="X12" s="34" t="n">
        <v>-219.737</v>
      </c>
      <c r="Y12" s="34" t="n">
        <v>-207.511</v>
      </c>
      <c r="Z12" s="34" t="n">
        <v>-263.047</v>
      </c>
      <c r="AA12" s="35">
        <f>O12+P12+Q12+R12</f>
        <v/>
      </c>
      <c r="AB12" s="35">
        <f>S12+T12+U12+V12</f>
        <v/>
      </c>
      <c r="AC12" s="35">
        <f>-AC10*0.1</f>
        <v/>
      </c>
      <c r="AD12" s="35">
        <f>-AD10*0.098</f>
        <v/>
      </c>
      <c r="AE12" s="35">
        <f>-AE10*0.095</f>
        <v/>
      </c>
    </row>
    <row r="13"/>
    <row r="14">
      <c r="A14" s="9" t="inlineStr">
        <is>
          <t>x</t>
        </is>
      </c>
      <c r="B14" s="10" t="inlineStr">
        <is>
          <t>Gross Profit</t>
        </is>
      </c>
      <c r="G14" s="36">
        <f>SUM(G10:G12)</f>
        <v/>
      </c>
      <c r="H14" s="36">
        <f>SUM(H10:H12)</f>
        <v/>
      </c>
      <c r="I14" s="36">
        <f>SUM(I10:I12)</f>
        <v/>
      </c>
      <c r="J14" s="36">
        <f>SUM(J10:J12)</f>
        <v/>
      </c>
      <c r="K14" s="36">
        <f>SUM(K10:K12)</f>
        <v/>
      </c>
      <c r="L14" s="36">
        <f>SUM(L10:L12)</f>
        <v/>
      </c>
      <c r="M14" s="36">
        <f>SUM(M10:M12)</f>
        <v/>
      </c>
      <c r="N14" s="36">
        <f>SUM(N10:N12)</f>
        <v/>
      </c>
      <c r="O14" s="36">
        <f>SUM(O10:O12)</f>
        <v/>
      </c>
      <c r="P14" s="36">
        <f>SUM(P10:P12)</f>
        <v/>
      </c>
      <c r="Q14" s="36">
        <f>SUM(Q10:Q12)</f>
        <v/>
      </c>
      <c r="R14" s="36">
        <f>SUM(R10:R12)</f>
        <v/>
      </c>
      <c r="S14" s="36">
        <f>SUM(S10:S12)</f>
        <v/>
      </c>
      <c r="T14" s="36">
        <f>SUM(T10:T12)</f>
        <v/>
      </c>
      <c r="U14" s="36">
        <f>SUM(U10:U12)</f>
        <v/>
      </c>
      <c r="V14" s="36">
        <f>SUM(V10:V12)</f>
        <v/>
      </c>
      <c r="X14" s="36">
        <f>SUM(X10:X12)</f>
        <v/>
      </c>
      <c r="Y14" s="36">
        <f>SUM(Y10:Y12)</f>
        <v/>
      </c>
      <c r="Z14" s="36">
        <f>SUM(Z10:Z12)</f>
        <v/>
      </c>
      <c r="AA14" s="36">
        <f>O14+P14+Q14+R14</f>
        <v/>
      </c>
      <c r="AB14" s="36">
        <f>S14+T14+U14+V14</f>
        <v/>
      </c>
      <c r="AC14" s="36">
        <f>SUM(AC10:AC12)</f>
        <v/>
      </c>
      <c r="AD14" s="36">
        <f>SUM(AD10:AD12)</f>
        <v/>
      </c>
      <c r="AE14" s="36">
        <f>SUM(AE10:AE12)</f>
        <v/>
      </c>
    </row>
    <row r="15">
      <c r="D15" s="8" t="inlineStr">
        <is>
          <t>Reconciliation: variance vs. as-reported</t>
        </is>
      </c>
      <c r="G15" s="37">
        <f>G14-_reported!G9</f>
        <v/>
      </c>
      <c r="H15" s="37">
        <f>H14-_reported!H9</f>
        <v/>
      </c>
      <c r="I15" s="37">
        <f>I14-_reported!I9</f>
        <v/>
      </c>
      <c r="J15" s="37">
        <f>J14-_reported!J9</f>
        <v/>
      </c>
      <c r="K15" s="37">
        <f>K14-_reported!K9</f>
        <v/>
      </c>
      <c r="L15" s="37">
        <f>L14-_reported!L9</f>
        <v/>
      </c>
      <c r="M15" s="37">
        <f>M14-_reported!M9</f>
        <v/>
      </c>
      <c r="N15" s="37">
        <f>N14-_reported!N9</f>
        <v/>
      </c>
      <c r="X15" s="37">
        <f>X14-_reported!X9</f>
        <v/>
      </c>
      <c r="Y15" s="37">
        <f>Y14-_reported!Y9</f>
        <v/>
      </c>
      <c r="Z15" s="37">
        <f>Z14-_reported!Z9</f>
        <v/>
      </c>
    </row>
    <row r="16"/>
    <row r="17">
      <c r="D17" s="12" t="inlineStr">
        <is>
          <t>Less: Transaction &amp; Risk Losses</t>
        </is>
      </c>
      <c r="G17" s="34" t="n">
        <v>-35</v>
      </c>
      <c r="H17" s="34" t="n">
        <v>-55.159</v>
      </c>
      <c r="I17" s="34" t="n">
        <v>-93.48999999999999</v>
      </c>
      <c r="J17" s="34" t="n">
        <v>-109.145</v>
      </c>
      <c r="K17" s="34" t="n">
        <v>-98.247</v>
      </c>
      <c r="L17" s="34" t="n">
        <v>-97.053</v>
      </c>
      <c r="M17" s="34" t="n">
        <v>-102.878</v>
      </c>
      <c r="N17" s="34" t="n">
        <v>-88.905</v>
      </c>
      <c r="O17" s="35">
        <f>-O10*O54</f>
        <v/>
      </c>
      <c r="P17" s="35">
        <f>-P10*P54</f>
        <v/>
      </c>
      <c r="Q17" s="35">
        <f>-Q10*Q54</f>
        <v/>
      </c>
      <c r="R17" s="35">
        <f>-R10*R54</f>
        <v/>
      </c>
      <c r="S17" s="35">
        <f>-S10*S54</f>
        <v/>
      </c>
      <c r="T17" s="35">
        <f>-T10*T54</f>
        <v/>
      </c>
      <c r="U17" s="35">
        <f>-U10*U54</f>
        <v/>
      </c>
      <c r="V17" s="35">
        <f>-V10*V54</f>
        <v/>
      </c>
      <c r="X17" s="34" t="n">
        <v>-152.375</v>
      </c>
      <c r="Y17" s="34" t="n">
        <v>-219.687</v>
      </c>
      <c r="Z17" s="34" t="n">
        <v>-407.323</v>
      </c>
      <c r="AA17" s="35">
        <f>O17+P17+Q17+R17</f>
        <v/>
      </c>
      <c r="AB17" s="35">
        <f>S17+T17+U17+V17</f>
        <v/>
      </c>
      <c r="AC17" s="35">
        <f>-AC10*AC54</f>
        <v/>
      </c>
      <c r="AD17" s="35">
        <f>-AD10*AD54</f>
        <v/>
      </c>
      <c r="AE17" s="35">
        <f>-AE10*AE54</f>
        <v/>
      </c>
    </row>
    <row r="18">
      <c r="D18" s="12" t="inlineStr">
        <is>
          <t>Less: Member Support &amp; Operations</t>
        </is>
      </c>
      <c r="G18" s="38" t="n">
        <v>-69.821</v>
      </c>
      <c r="H18" s="38" t="n">
        <v>-70.054</v>
      </c>
      <c r="I18" s="38" t="n">
        <v>-78.913</v>
      </c>
      <c r="J18" s="38" t="n">
        <v>-78.60899999999999</v>
      </c>
      <c r="K18" s="38" t="n">
        <v>-203.097</v>
      </c>
      <c r="L18" s="38" t="n">
        <v>-83.658</v>
      </c>
      <c r="M18" s="38" t="n">
        <v>-92.614</v>
      </c>
      <c r="N18" s="38" t="n">
        <v>-95.399</v>
      </c>
      <c r="O18" s="39">
        <f>-O10*O55</f>
        <v/>
      </c>
      <c r="P18" s="39">
        <f>-P10*P55</f>
        <v/>
      </c>
      <c r="Q18" s="39">
        <f>-Q10*Q55</f>
        <v/>
      </c>
      <c r="R18" s="39">
        <f>-R10*R55</f>
        <v/>
      </c>
      <c r="S18" s="39">
        <f>-S10*S55</f>
        <v/>
      </c>
      <c r="T18" s="39">
        <f>-T10*T55</f>
        <v/>
      </c>
      <c r="U18" s="39">
        <f>-U10*U55</f>
        <v/>
      </c>
      <c r="V18" s="39">
        <f>-V10*V55</f>
        <v/>
      </c>
      <c r="X18" s="38" t="n">
        <v>-272.755</v>
      </c>
      <c r="Y18" s="38" t="n">
        <v>-286.856</v>
      </c>
      <c r="Z18" s="38" t="n">
        <v>-457.978</v>
      </c>
      <c r="AA18" s="39">
        <f>O18+P18+Q18+R18</f>
        <v/>
      </c>
      <c r="AB18" s="39">
        <f>S18+T18+U18+V18</f>
        <v/>
      </c>
      <c r="AC18" s="39">
        <f>-AC10*AC55</f>
        <v/>
      </c>
      <c r="AD18" s="39">
        <f>-AD10*AD55</f>
        <v/>
      </c>
      <c r="AE18" s="39">
        <f>-AE10*AE55</f>
        <v/>
      </c>
    </row>
    <row r="19">
      <c r="D19" s="12" t="inlineStr">
        <is>
          <t>Less: Sales &amp; Marketing</t>
        </is>
      </c>
      <c r="G19" s="38" t="n">
        <v>-118.021</v>
      </c>
      <c r="H19" s="38" t="n">
        <v>-143.123</v>
      </c>
      <c r="I19" s="38" t="n">
        <v>-141.569</v>
      </c>
      <c r="J19" s="38" t="n">
        <v>-132.573</v>
      </c>
      <c r="K19" s="38" t="n">
        <v>-185.006</v>
      </c>
      <c r="L19" s="38" t="n">
        <v>-153.608</v>
      </c>
      <c r="M19" s="38" t="n">
        <v>-164.197</v>
      </c>
      <c r="N19" s="38" t="n">
        <v>-165.431</v>
      </c>
      <c r="O19" s="39">
        <f>-O10*O56</f>
        <v/>
      </c>
      <c r="P19" s="39">
        <f>-P10*P56</f>
        <v/>
      </c>
      <c r="Q19" s="39">
        <f>-Q10*Q56</f>
        <v/>
      </c>
      <c r="R19" s="39">
        <f>-R10*R56</f>
        <v/>
      </c>
      <c r="S19" s="39">
        <f>-S10*S56</f>
        <v/>
      </c>
      <c r="T19" s="39">
        <f>-T10*T56</f>
        <v/>
      </c>
      <c r="U19" s="39">
        <f>-U10*U56</f>
        <v/>
      </c>
      <c r="V19" s="39">
        <f>-V10*V56</f>
        <v/>
      </c>
      <c r="X19" s="38" t="n">
        <v>-443.806</v>
      </c>
      <c r="Y19" s="38" t="n">
        <v>-519.76</v>
      </c>
      <c r="Z19" s="38" t="n">
        <v>-635.384</v>
      </c>
      <c r="AA19" s="39">
        <f>O19+P19+Q19+R19</f>
        <v/>
      </c>
      <c r="AB19" s="39">
        <f>S19+T19+U19+V19</f>
        <v/>
      </c>
      <c r="AC19" s="39">
        <f>-AC10*AC56</f>
        <v/>
      </c>
      <c r="AD19" s="39">
        <f>-AD10*AD56</f>
        <v/>
      </c>
      <c r="AE19" s="39">
        <f>-AE10*AE56</f>
        <v/>
      </c>
    </row>
    <row r="20">
      <c r="D20" s="12" t="inlineStr">
        <is>
          <t>Less: Technology &amp; Development</t>
        </is>
      </c>
      <c r="G20" s="38" t="n">
        <v>-75.371</v>
      </c>
      <c r="H20" s="38" t="n">
        <v>-80.40000000000001</v>
      </c>
      <c r="I20" s="38" t="n">
        <v>-78.874</v>
      </c>
      <c r="J20" s="38" t="n">
        <v>-77.88200000000001</v>
      </c>
      <c r="K20" s="38" t="n">
        <v>-621.754</v>
      </c>
      <c r="L20" s="38" t="n">
        <v>-123.942</v>
      </c>
      <c r="M20" s="38" t="n">
        <v>-111.347</v>
      </c>
      <c r="N20" s="38" t="n">
        <v>-109.78</v>
      </c>
      <c r="O20" s="39">
        <f>-O10*O57</f>
        <v/>
      </c>
      <c r="P20" s="39">
        <f>-P10*P57</f>
        <v/>
      </c>
      <c r="Q20" s="39">
        <f>-Q10*Q57</f>
        <v/>
      </c>
      <c r="R20" s="39">
        <f>-R10*R57</f>
        <v/>
      </c>
      <c r="S20" s="39">
        <f>-S10*S57</f>
        <v/>
      </c>
      <c r="T20" s="39">
        <f>-T10*T57</f>
        <v/>
      </c>
      <c r="U20" s="39">
        <f>-U10*U57</f>
        <v/>
      </c>
      <c r="V20" s="39">
        <f>-V10*V57</f>
        <v/>
      </c>
      <c r="X20" s="38" t="n">
        <v>-259.001</v>
      </c>
      <c r="Y20" s="38" t="n">
        <v>-309.575</v>
      </c>
      <c r="Z20" s="38" t="n">
        <v>-934.925</v>
      </c>
      <c r="AA20" s="39">
        <f>O20+P20+Q20+R20</f>
        <v/>
      </c>
      <c r="AB20" s="39">
        <f>S20+T20+U20+V20</f>
        <v/>
      </c>
      <c r="AC20" s="39">
        <f>-AC10*AC57</f>
        <v/>
      </c>
      <c r="AD20" s="39">
        <f>-AD10*AD57</f>
        <v/>
      </c>
      <c r="AE20" s="39">
        <f>-AE10*AE57</f>
        <v/>
      </c>
    </row>
    <row r="21">
      <c r="D21" s="12" t="inlineStr">
        <is>
          <t>Less: General &amp; Administrative</t>
        </is>
      </c>
      <c r="G21" s="38" t="n">
        <v>-41.638</v>
      </c>
      <c r="H21" s="38" t="n">
        <v>-46.645</v>
      </c>
      <c r="I21" s="38" t="n">
        <v>-49.694</v>
      </c>
      <c r="J21" s="38" t="n">
        <v>-47.173</v>
      </c>
      <c r="K21" s="38" t="n">
        <v>-279.667</v>
      </c>
      <c r="L21" s="38" t="n">
        <v>-76.575</v>
      </c>
      <c r="M21" s="38" t="n">
        <v>-108.698</v>
      </c>
      <c r="N21" s="38" t="n">
        <v>-70.467</v>
      </c>
      <c r="O21" s="39">
        <f>-O10*O58</f>
        <v/>
      </c>
      <c r="P21" s="39">
        <f>-P10*P58</f>
        <v/>
      </c>
      <c r="Q21" s="39">
        <f>-Q10*Q58</f>
        <v/>
      </c>
      <c r="R21" s="39">
        <f>-R10*R58</f>
        <v/>
      </c>
      <c r="S21" s="39">
        <f>-S10*S58</f>
        <v/>
      </c>
      <c r="T21" s="39">
        <f>-T10*T58</f>
        <v/>
      </c>
      <c r="U21" s="39">
        <f>-U10*U58</f>
        <v/>
      </c>
      <c r="V21" s="39">
        <f>-V10*V58</f>
        <v/>
      </c>
      <c r="X21" s="38" t="n">
        <v>-154.945</v>
      </c>
      <c r="Y21" s="38" t="n">
        <v>-177.229</v>
      </c>
      <c r="Z21" s="38" t="n">
        <v>-512.1130000000001</v>
      </c>
      <c r="AA21" s="39">
        <f>O21+P21+Q21+R21</f>
        <v/>
      </c>
      <c r="AB21" s="39">
        <f>S21+T21+U21+V21</f>
        <v/>
      </c>
      <c r="AC21" s="39">
        <f>-AC10*AC58</f>
        <v/>
      </c>
      <c r="AD21" s="39">
        <f>-AD10*AD58</f>
        <v/>
      </c>
      <c r="AE21" s="39">
        <f>-AE10*AE58</f>
        <v/>
      </c>
    </row>
    <row r="22">
      <c r="D22" s="12" t="inlineStr">
        <is>
          <t>Less: Depreciation &amp; Amortization</t>
        </is>
      </c>
      <c r="G22" s="38" t="n">
        <v>-3.3</v>
      </c>
      <c r="H22" s="38" t="n">
        <v>-3.618</v>
      </c>
      <c r="I22" s="38" t="n">
        <v>-3.774</v>
      </c>
      <c r="J22" s="38" t="n">
        <v>-3.807</v>
      </c>
      <c r="K22" s="38" t="n">
        <v>-3.896</v>
      </c>
      <c r="L22" s="38" t="n">
        <v>-3.992</v>
      </c>
      <c r="M22" s="38" t="n">
        <v>-4.284</v>
      </c>
      <c r="N22" s="38" t="n">
        <v>-4.168</v>
      </c>
      <c r="O22" s="39">
        <f>-O10*O59</f>
        <v/>
      </c>
      <c r="P22" s="39">
        <f>-P10*P59</f>
        <v/>
      </c>
      <c r="Q22" s="39">
        <f>-Q10*Q59</f>
        <v/>
      </c>
      <c r="R22" s="39">
        <f>-R10*R59</f>
        <v/>
      </c>
      <c r="S22" s="39">
        <f>-S10*S59</f>
        <v/>
      </c>
      <c r="T22" s="39">
        <f>-T10*T59</f>
        <v/>
      </c>
      <c r="U22" s="39">
        <f>-U10*U59</f>
        <v/>
      </c>
      <c r="V22" s="39">
        <f>-V10*V59</f>
        <v/>
      </c>
      <c r="X22" s="38" t="n">
        <v>-11.621</v>
      </c>
      <c r="Y22" s="38" t="n">
        <v>-14.85</v>
      </c>
      <c r="Z22" s="38" t="n">
        <v>-15.979</v>
      </c>
      <c r="AA22" s="39">
        <f>O22+P22+Q22+R22</f>
        <v/>
      </c>
      <c r="AB22" s="39">
        <f>S22+T22+U22+V22</f>
        <v/>
      </c>
      <c r="AC22" s="39">
        <f>-AC10*AC59</f>
        <v/>
      </c>
      <c r="AD22" s="39">
        <f>-AD10*AD59</f>
        <v/>
      </c>
      <c r="AE22" s="39">
        <f>-AE10*AE59</f>
        <v/>
      </c>
    </row>
    <row r="23">
      <c r="C23" s="10" t="inlineStr">
        <is>
          <t>Total Operating Expenses</t>
        </is>
      </c>
      <c r="G23" s="36">
        <f>SUM(G17:G22)</f>
        <v/>
      </c>
      <c r="H23" s="36">
        <f>SUM(H17:H22)</f>
        <v/>
      </c>
      <c r="I23" s="36">
        <f>SUM(I17:I22)</f>
        <v/>
      </c>
      <c r="J23" s="36">
        <f>SUM(J17:J22)</f>
        <v/>
      </c>
      <c r="K23" s="36">
        <f>SUM(K17:K22)</f>
        <v/>
      </c>
      <c r="L23" s="36">
        <f>SUM(L17:L22)</f>
        <v/>
      </c>
      <c r="M23" s="36">
        <f>SUM(M17:M22)</f>
        <v/>
      </c>
      <c r="N23" s="36">
        <f>SUM(N17:N22)</f>
        <v/>
      </c>
      <c r="O23" s="36">
        <f>SUM(O17:O22)</f>
        <v/>
      </c>
      <c r="P23" s="36">
        <f>SUM(P17:P22)</f>
        <v/>
      </c>
      <c r="Q23" s="36">
        <f>SUM(Q17:Q22)</f>
        <v/>
      </c>
      <c r="R23" s="36">
        <f>SUM(R17:R22)</f>
        <v/>
      </c>
      <c r="S23" s="36">
        <f>SUM(S17:S22)</f>
        <v/>
      </c>
      <c r="T23" s="36">
        <f>SUM(T17:T22)</f>
        <v/>
      </c>
      <c r="U23" s="36">
        <f>SUM(U17:U22)</f>
        <v/>
      </c>
      <c r="V23" s="36">
        <f>SUM(V17:V22)</f>
        <v/>
      </c>
      <c r="X23" s="36">
        <f>SUM(X17:X22)</f>
        <v/>
      </c>
      <c r="Y23" s="36">
        <f>SUM(Y17:Y22)</f>
        <v/>
      </c>
      <c r="Z23" s="36">
        <f>SUM(Z17:Z22)</f>
        <v/>
      </c>
      <c r="AA23" s="36">
        <f>O23+P23+Q23+R23</f>
        <v/>
      </c>
      <c r="AB23" s="36">
        <f>S23+T23+U23+V23</f>
        <v/>
      </c>
      <c r="AC23" s="36">
        <f>SUM(AC17:AC22)</f>
        <v/>
      </c>
      <c r="AD23" s="36">
        <f>SUM(AD17:AD22)</f>
        <v/>
      </c>
      <c r="AE23" s="36">
        <f>SUM(AE17:AE22)</f>
        <v/>
      </c>
    </row>
    <row r="24">
      <c r="D24" s="8" t="inlineStr">
        <is>
          <t>Reconciliation: variance vs. as-reported</t>
        </is>
      </c>
      <c r="G24" s="37">
        <f>G23-_reported!G10</f>
        <v/>
      </c>
      <c r="H24" s="37">
        <f>H23-_reported!H10</f>
        <v/>
      </c>
      <c r="I24" s="37">
        <f>I23-_reported!I10</f>
        <v/>
      </c>
      <c r="J24" s="37">
        <f>J23-_reported!J10</f>
        <v/>
      </c>
      <c r="K24" s="37">
        <f>K23-_reported!K10</f>
        <v/>
      </c>
      <c r="L24" s="37">
        <f>L23-_reported!L10</f>
        <v/>
      </c>
      <c r="M24" s="37">
        <f>M23-_reported!M10</f>
        <v/>
      </c>
      <c r="N24" s="37">
        <f>N23-_reported!N10</f>
        <v/>
      </c>
      <c r="X24" s="37">
        <f>X23-_reported!X10</f>
        <v/>
      </c>
      <c r="Y24" s="37">
        <f>Y23-_reported!Y10</f>
        <v/>
      </c>
      <c r="Z24" s="37">
        <f>Z23-_reported!Z10</f>
        <v/>
      </c>
    </row>
    <row r="25"/>
    <row r="26">
      <c r="A26" s="9" t="inlineStr">
        <is>
          <t>x</t>
        </is>
      </c>
      <c r="B26" s="10" t="inlineStr">
        <is>
          <t>Operating Income (Loss)</t>
        </is>
      </c>
      <c r="G26" s="36">
        <f>G14+G23</f>
        <v/>
      </c>
      <c r="H26" s="36">
        <f>H14+H23</f>
        <v/>
      </c>
      <c r="I26" s="36">
        <f>I14+I23</f>
        <v/>
      </c>
      <c r="J26" s="36">
        <f>J14+J23</f>
        <v/>
      </c>
      <c r="K26" s="36">
        <f>K14+K23</f>
        <v/>
      </c>
      <c r="L26" s="36">
        <f>L14+L23</f>
        <v/>
      </c>
      <c r="M26" s="36">
        <f>M14+M23</f>
        <v/>
      </c>
      <c r="N26" s="36">
        <f>N14+N23</f>
        <v/>
      </c>
      <c r="O26" s="36">
        <f>O14+O23</f>
        <v/>
      </c>
      <c r="P26" s="36">
        <f>P14+P23</f>
        <v/>
      </c>
      <c r="Q26" s="36">
        <f>Q14+Q23</f>
        <v/>
      </c>
      <c r="R26" s="36">
        <f>R14+R23</f>
        <v/>
      </c>
      <c r="S26" s="36">
        <f>S14+S23</f>
        <v/>
      </c>
      <c r="T26" s="36">
        <f>T14+T23</f>
        <v/>
      </c>
      <c r="U26" s="36">
        <f>U14+U23</f>
        <v/>
      </c>
      <c r="V26" s="36">
        <f>V14+V23</f>
        <v/>
      </c>
      <c r="X26" s="36">
        <f>X14+X23</f>
        <v/>
      </c>
      <c r="Y26" s="36">
        <f>Y14+Y23</f>
        <v/>
      </c>
      <c r="Z26" s="36">
        <f>Z14+Z23</f>
        <v/>
      </c>
      <c r="AA26" s="36">
        <f>O26+P26+Q26+R26</f>
        <v/>
      </c>
      <c r="AB26" s="36">
        <f>S26+T26+U26+V26</f>
        <v/>
      </c>
      <c r="AC26" s="36">
        <f>AC14+AC23</f>
        <v/>
      </c>
      <c r="AD26" s="36">
        <f>AD14+AD23</f>
        <v/>
      </c>
      <c r="AE26" s="36">
        <f>AE14+AE23</f>
        <v/>
      </c>
    </row>
    <row r="27">
      <c r="D27" s="8" t="inlineStr">
        <is>
          <t>Reconciliation: variance vs. as-reported</t>
        </is>
      </c>
      <c r="G27" s="37">
        <f>G26-_reported!G11</f>
        <v/>
      </c>
      <c r="H27" s="37">
        <f>H26-_reported!H11</f>
        <v/>
      </c>
      <c r="I27" s="37">
        <f>I26-_reported!I11</f>
        <v/>
      </c>
      <c r="J27" s="37">
        <f>J26-_reported!J11</f>
        <v/>
      </c>
      <c r="K27" s="37">
        <f>K26-_reported!K11</f>
        <v/>
      </c>
      <c r="L27" s="37">
        <f>L26-_reported!L11</f>
        <v/>
      </c>
      <c r="M27" s="37">
        <f>M26-_reported!M11</f>
        <v/>
      </c>
      <c r="N27" s="37">
        <f>N26-_reported!N11</f>
        <v/>
      </c>
      <c r="X27" s="37">
        <f>X26-_reported!X11</f>
        <v/>
      </c>
      <c r="Y27" s="37">
        <f>Y26-_reported!Y11</f>
        <v/>
      </c>
      <c r="Z27" s="37">
        <f>Z26-_reported!Z11</f>
        <v/>
      </c>
    </row>
    <row r="28"/>
    <row r="29">
      <c r="C29" s="8" t="inlineStr">
        <is>
          <t>Memo: D&amp;A from CF (positive)</t>
        </is>
      </c>
      <c r="G29" s="35">
        <f>G184</f>
        <v/>
      </c>
      <c r="H29" s="35">
        <f>H184</f>
        <v/>
      </c>
      <c r="I29" s="35">
        <f>I184</f>
        <v/>
      </c>
      <c r="J29" s="35">
        <f>J184</f>
        <v/>
      </c>
      <c r="K29" s="35">
        <f>K184</f>
        <v/>
      </c>
      <c r="L29" s="35">
        <f>L184</f>
        <v/>
      </c>
      <c r="M29" s="35">
        <f>M184</f>
        <v/>
      </c>
      <c r="N29" s="35">
        <f>N184</f>
        <v/>
      </c>
      <c r="O29" s="35">
        <f>O184</f>
        <v/>
      </c>
      <c r="P29" s="35">
        <f>P184</f>
        <v/>
      </c>
      <c r="Q29" s="35">
        <f>Q184</f>
        <v/>
      </c>
      <c r="R29" s="35">
        <f>R184</f>
        <v/>
      </c>
      <c r="S29" s="35">
        <f>S184</f>
        <v/>
      </c>
      <c r="T29" s="35">
        <f>T184</f>
        <v/>
      </c>
      <c r="U29" s="35">
        <f>U184</f>
        <v/>
      </c>
      <c r="V29" s="35">
        <f>V184</f>
        <v/>
      </c>
      <c r="X29" s="35">
        <f>X184</f>
        <v/>
      </c>
      <c r="Y29" s="35">
        <f>Y184</f>
        <v/>
      </c>
      <c r="Z29" s="35">
        <f>Z184</f>
        <v/>
      </c>
      <c r="AA29" s="35">
        <f>O29+P29+Q29+R29</f>
        <v/>
      </c>
      <c r="AB29" s="35">
        <f>S29+T29+U29+V29</f>
        <v/>
      </c>
      <c r="AC29" s="35">
        <f>AC184</f>
        <v/>
      </c>
      <c r="AD29" s="35">
        <f>AD184</f>
        <v/>
      </c>
      <c r="AE29" s="35">
        <f>AE184</f>
        <v/>
      </c>
    </row>
    <row r="30">
      <c r="A30" s="9" t="inlineStr">
        <is>
          <t>x</t>
        </is>
      </c>
      <c r="B30" s="10" t="inlineStr">
        <is>
          <t>EBITDA</t>
        </is>
      </c>
      <c r="G30" s="36">
        <f>G26+G29</f>
        <v/>
      </c>
      <c r="H30" s="36">
        <f>H26+H29</f>
        <v/>
      </c>
      <c r="I30" s="36">
        <f>I26+I29</f>
        <v/>
      </c>
      <c r="J30" s="36">
        <f>J26+J29</f>
        <v/>
      </c>
      <c r="K30" s="36">
        <f>K26+K29</f>
        <v/>
      </c>
      <c r="L30" s="36">
        <f>L26+L29</f>
        <v/>
      </c>
      <c r="M30" s="36">
        <f>M26+M29</f>
        <v/>
      </c>
      <c r="N30" s="36">
        <f>N26+N29</f>
        <v/>
      </c>
      <c r="O30" s="36">
        <f>O26+O29</f>
        <v/>
      </c>
      <c r="P30" s="36">
        <f>P26+P29</f>
        <v/>
      </c>
      <c r="Q30" s="36">
        <f>Q26+Q29</f>
        <v/>
      </c>
      <c r="R30" s="36">
        <f>R26+R29</f>
        <v/>
      </c>
      <c r="S30" s="36">
        <f>S26+S29</f>
        <v/>
      </c>
      <c r="T30" s="36">
        <f>T26+T29</f>
        <v/>
      </c>
      <c r="U30" s="36">
        <f>U26+U29</f>
        <v/>
      </c>
      <c r="V30" s="36">
        <f>V26+V29</f>
        <v/>
      </c>
      <c r="X30" s="36">
        <f>X26+X29</f>
        <v/>
      </c>
      <c r="Y30" s="36">
        <f>Y26+Y29</f>
        <v/>
      </c>
      <c r="Z30" s="36">
        <f>Z26+Z29</f>
        <v/>
      </c>
      <c r="AA30" s="36">
        <f>O30+P30+Q30+R30</f>
        <v/>
      </c>
      <c r="AB30" s="36">
        <f>S30+T30+U30+V30</f>
        <v/>
      </c>
      <c r="AC30" s="36">
        <f>AC26+AC29</f>
        <v/>
      </c>
      <c r="AD30" s="36">
        <f>AD26+AD29</f>
        <v/>
      </c>
      <c r="AE30" s="36">
        <f>AE26+AE29</f>
        <v/>
      </c>
    </row>
    <row r="31"/>
    <row r="32">
      <c r="D32" s="12" t="inlineStr">
        <is>
          <t>Other Income, Net</t>
        </is>
      </c>
      <c r="G32" s="34" t="n">
        <v>9.904</v>
      </c>
      <c r="H32" s="34" t="n">
        <v>10.817</v>
      </c>
      <c r="I32" s="34" t="n">
        <v>8.234999999999999</v>
      </c>
      <c r="J32" s="34" t="n">
        <v>5.354</v>
      </c>
      <c r="K32" s="34" t="n">
        <v>6.215</v>
      </c>
      <c r="L32" s="34" t="n">
        <v>10.268</v>
      </c>
      <c r="M32" s="34" t="n">
        <v>9.037000000000001</v>
      </c>
      <c r="N32" s="34" t="n">
        <v>7.748</v>
      </c>
      <c r="O32" s="34" t="n">
        <v>9</v>
      </c>
      <c r="P32" s="34" t="n">
        <v>9</v>
      </c>
      <c r="Q32" s="34" t="n">
        <v>10</v>
      </c>
      <c r="R32" s="34" t="n">
        <v>10</v>
      </c>
      <c r="S32" s="34" t="n">
        <v>11</v>
      </c>
      <c r="T32" s="34" t="n">
        <v>11</v>
      </c>
      <c r="U32" s="34" t="n">
        <v>11</v>
      </c>
      <c r="V32" s="34" t="n">
        <v>12</v>
      </c>
      <c r="X32" s="34" t="n">
        <v>32.817</v>
      </c>
      <c r="Y32" s="34" t="n">
        <v>39.465</v>
      </c>
      <c r="Z32" s="34" t="n">
        <v>30.874</v>
      </c>
      <c r="AA32" s="35">
        <f>O32+P32+Q32+R32</f>
        <v/>
      </c>
      <c r="AB32" s="35">
        <f>S32+T32+U32+V32</f>
        <v/>
      </c>
      <c r="AC32" s="34" t="n">
        <v>50</v>
      </c>
      <c r="AD32" s="34" t="n">
        <v>56</v>
      </c>
      <c r="AE32" s="34" t="n">
        <v>62</v>
      </c>
    </row>
    <row r="33">
      <c r="C33" s="10" t="inlineStr">
        <is>
          <t>Income (Loss) Before Income Taxes</t>
        </is>
      </c>
      <c r="G33" s="36">
        <f>G26+G32</f>
        <v/>
      </c>
      <c r="H33" s="36">
        <f>H26+H32</f>
        <v/>
      </c>
      <c r="I33" s="36">
        <f>I26+I32</f>
        <v/>
      </c>
      <c r="J33" s="36">
        <f>J26+J32</f>
        <v/>
      </c>
      <c r="K33" s="36">
        <f>K26+K32</f>
        <v/>
      </c>
      <c r="L33" s="36">
        <f>L26+L32</f>
        <v/>
      </c>
      <c r="M33" s="36">
        <f>M26+M32</f>
        <v/>
      </c>
      <c r="N33" s="36">
        <f>N26+N32</f>
        <v/>
      </c>
      <c r="O33" s="36">
        <f>O26+O32</f>
        <v/>
      </c>
      <c r="P33" s="36">
        <f>P26+P32</f>
        <v/>
      </c>
      <c r="Q33" s="36">
        <f>Q26+Q32</f>
        <v/>
      </c>
      <c r="R33" s="36">
        <f>R26+R32</f>
        <v/>
      </c>
      <c r="S33" s="36">
        <f>S26+S32</f>
        <v/>
      </c>
      <c r="T33" s="36">
        <f>T26+T32</f>
        <v/>
      </c>
      <c r="U33" s="36">
        <f>U26+U32</f>
        <v/>
      </c>
      <c r="V33" s="36">
        <f>V26+V32</f>
        <v/>
      </c>
      <c r="X33" s="36">
        <f>X26+X32</f>
        <v/>
      </c>
      <c r="Y33" s="36">
        <f>Y26+Y32</f>
        <v/>
      </c>
      <c r="Z33" s="36">
        <f>Z26+Z32</f>
        <v/>
      </c>
      <c r="AA33" s="36">
        <f>O33+P33+Q33+R33</f>
        <v/>
      </c>
      <c r="AB33" s="36">
        <f>S33+T33+U33+V33</f>
        <v/>
      </c>
      <c r="AC33" s="36">
        <f>AC26+AC32</f>
        <v/>
      </c>
      <c r="AD33" s="36">
        <f>AD26+AD32</f>
        <v/>
      </c>
      <c r="AE33" s="36">
        <f>AE26+AE32</f>
        <v/>
      </c>
    </row>
    <row r="34">
      <c r="D34" s="8" t="inlineStr">
        <is>
          <t>Reconciliation: variance vs. as-reported</t>
        </is>
      </c>
      <c r="G34" s="37">
        <f>G33-_reported!G12</f>
        <v/>
      </c>
      <c r="H34" s="37">
        <f>H33-_reported!H12</f>
        <v/>
      </c>
      <c r="I34" s="37">
        <f>I33-_reported!I12</f>
        <v/>
      </c>
      <c r="J34" s="37">
        <f>J33-_reported!J12</f>
        <v/>
      </c>
      <c r="K34" s="37">
        <f>K33-_reported!K12</f>
        <v/>
      </c>
      <c r="L34" s="37">
        <f>L33-_reported!L12</f>
        <v/>
      </c>
      <c r="M34" s="37">
        <f>M33-_reported!M12</f>
        <v/>
      </c>
      <c r="N34" s="37">
        <f>N33-_reported!N12</f>
        <v/>
      </c>
      <c r="X34" s="37">
        <f>X33-_reported!X12</f>
        <v/>
      </c>
      <c r="Y34" s="37">
        <f>Y33-_reported!Y12</f>
        <v/>
      </c>
      <c r="Z34" s="37">
        <f>Z33-_reported!Z12</f>
        <v/>
      </c>
    </row>
    <row r="35"/>
    <row r="36">
      <c r="D36" s="12" t="inlineStr">
        <is>
          <t>Less: Provision for Income Taxes</t>
        </is>
      </c>
      <c r="G36" s="34" t="n">
        <v>-0.078</v>
      </c>
      <c r="H36" s="34" t="n">
        <v>-2.199</v>
      </c>
      <c r="I36" s="34" t="n">
        <v>-0.695</v>
      </c>
      <c r="J36" s="34" t="n">
        <v>-1.552</v>
      </c>
      <c r="K36" s="34" t="n">
        <v>1.047</v>
      </c>
      <c r="L36" s="34" t="n">
        <v>-0.28</v>
      </c>
      <c r="M36" s="34" t="n">
        <v>-0.046</v>
      </c>
      <c r="N36" s="34" t="n">
        <v>-0.455</v>
      </c>
      <c r="O36" s="35">
        <f>-O33*0.02</f>
        <v/>
      </c>
      <c r="P36" s="35">
        <f>-P33*0.05</f>
        <v/>
      </c>
      <c r="Q36" s="35">
        <f>-Q33*0.08</f>
        <v/>
      </c>
      <c r="R36" s="35">
        <f>-R33*0.1</f>
        <v/>
      </c>
      <c r="S36" s="35">
        <f>-S33*0.15</f>
        <v/>
      </c>
      <c r="T36" s="35">
        <f>-T33*0.18</f>
        <v/>
      </c>
      <c r="U36" s="35">
        <f>-U33*0.2</f>
        <v/>
      </c>
      <c r="V36" s="35">
        <f>-V33*0.21</f>
        <v/>
      </c>
      <c r="X36" s="34" t="n">
        <v>-0.234</v>
      </c>
      <c r="Y36" s="34" t="n">
        <v>-2.61</v>
      </c>
      <c r="Z36" s="34" t="n">
        <v>-0.831</v>
      </c>
      <c r="AA36" s="35">
        <f>O36+P36+Q36+R36</f>
        <v/>
      </c>
      <c r="AB36" s="35">
        <f>S36+T36+U36+V36</f>
        <v/>
      </c>
      <c r="AC36" s="35">
        <f>-AC33*0.21</f>
        <v/>
      </c>
      <c r="AD36" s="35">
        <f>-AD33*0.21</f>
        <v/>
      </c>
      <c r="AE36" s="35">
        <f>-AE33*0.21</f>
        <v/>
      </c>
    </row>
    <row r="37">
      <c r="A37" s="9" t="inlineStr">
        <is>
          <t>x</t>
        </is>
      </c>
      <c r="B37" s="10" t="inlineStr">
        <is>
          <t>Net Income (Loss)</t>
        </is>
      </c>
      <c r="G37" s="36">
        <f>G33+G36</f>
        <v/>
      </c>
      <c r="H37" s="36">
        <f>H33+H36</f>
        <v/>
      </c>
      <c r="I37" s="36">
        <f>I33+I36</f>
        <v/>
      </c>
      <c r="J37" s="36">
        <f>J33+J36</f>
        <v/>
      </c>
      <c r="K37" s="36">
        <f>K33+K36</f>
        <v/>
      </c>
      <c r="L37" s="36">
        <f>L33+L36</f>
        <v/>
      </c>
      <c r="M37" s="36">
        <f>M33+M36</f>
        <v/>
      </c>
      <c r="N37" s="36">
        <f>N33+N36</f>
        <v/>
      </c>
      <c r="O37" s="36">
        <f>O33+O36</f>
        <v/>
      </c>
      <c r="P37" s="36">
        <f>P33+P36</f>
        <v/>
      </c>
      <c r="Q37" s="36">
        <f>Q33+Q36</f>
        <v/>
      </c>
      <c r="R37" s="36">
        <f>R33+R36</f>
        <v/>
      </c>
      <c r="S37" s="36">
        <f>S33+S36</f>
        <v/>
      </c>
      <c r="T37" s="36">
        <f>T33+T36</f>
        <v/>
      </c>
      <c r="U37" s="36">
        <f>U33+U36</f>
        <v/>
      </c>
      <c r="V37" s="36">
        <f>V33+V36</f>
        <v/>
      </c>
      <c r="X37" s="36">
        <f>X33+X36</f>
        <v/>
      </c>
      <c r="Y37" s="36">
        <f>Y33+Y36</f>
        <v/>
      </c>
      <c r="Z37" s="36">
        <f>Z33+Z36</f>
        <v/>
      </c>
      <c r="AA37" s="36">
        <f>O37+P37+Q37+R37</f>
        <v/>
      </c>
      <c r="AB37" s="36">
        <f>S37+T37+U37+V37</f>
        <v/>
      </c>
      <c r="AC37" s="36">
        <f>AC33+AC36</f>
        <v/>
      </c>
      <c r="AD37" s="36">
        <f>AD33+AD36</f>
        <v/>
      </c>
      <c r="AE37" s="36">
        <f>AE33+AE36</f>
        <v/>
      </c>
    </row>
    <row r="38">
      <c r="D38" s="8" t="inlineStr">
        <is>
          <t>Reconciliation: variance vs. as-reported</t>
        </is>
      </c>
      <c r="G38" s="37">
        <f>G37-_reported!G13</f>
        <v/>
      </c>
      <c r="H38" s="37">
        <f>H37-_reported!H13</f>
        <v/>
      </c>
      <c r="I38" s="37">
        <f>I37-_reported!I13</f>
        <v/>
      </c>
      <c r="J38" s="37">
        <f>J37-_reported!J13</f>
        <v/>
      </c>
      <c r="K38" s="37">
        <f>K37-_reported!K13</f>
        <v/>
      </c>
      <c r="L38" s="37">
        <f>L37-_reported!L13</f>
        <v/>
      </c>
      <c r="M38" s="37">
        <f>M37-_reported!M13</f>
        <v/>
      </c>
      <c r="N38" s="37">
        <f>N37-_reported!N13</f>
        <v/>
      </c>
      <c r="X38" s="37">
        <f>X37-_reported!X13</f>
        <v/>
      </c>
      <c r="Y38" s="37">
        <f>Y37-_reported!Y13</f>
        <v/>
      </c>
      <c r="Z38" s="37">
        <f>Z37-_reported!Z13</f>
        <v/>
      </c>
    </row>
    <row r="39"/>
    <row r="40"/>
    <row r="41">
      <c r="C41" s="12" t="inlineStr">
        <is>
          <t>EPS, Basic</t>
        </is>
      </c>
      <c r="G41" s="16" t="n">
        <v>0</v>
      </c>
      <c r="H41" s="16" t="n">
        <v>-0.34</v>
      </c>
      <c r="I41" s="16" t="n">
        <v>-0.3</v>
      </c>
      <c r="J41" s="16" t="n">
        <v>0</v>
      </c>
      <c r="K41" s="16" t="n">
        <v>-7.29</v>
      </c>
      <c r="L41" s="16" t="n">
        <v>-0.15</v>
      </c>
      <c r="M41" s="16" t="n">
        <v>-0.12</v>
      </c>
      <c r="N41" s="16" t="n">
        <v>0.14</v>
      </c>
      <c r="O41" s="40">
        <f>O37/O43</f>
        <v/>
      </c>
      <c r="P41" s="40">
        <f>P37/P43</f>
        <v/>
      </c>
      <c r="Q41" s="40">
        <f>Q37/Q43</f>
        <v/>
      </c>
      <c r="R41" s="40">
        <f>R37/R43</f>
        <v/>
      </c>
      <c r="S41" s="40">
        <f>S37/S43</f>
        <v/>
      </c>
      <c r="T41" s="40">
        <f>T37/T43</f>
        <v/>
      </c>
      <c r="U41" s="40">
        <f>U37/U43</f>
        <v/>
      </c>
      <c r="V41" s="40">
        <f>V37/V43</f>
        <v/>
      </c>
      <c r="X41" s="16" t="n">
        <v>-3.22</v>
      </c>
      <c r="Y41" s="16" t="n">
        <v>-0.39</v>
      </c>
      <c r="Z41" s="16" t="n">
        <v>-4.27</v>
      </c>
      <c r="AA41" s="40">
        <f>AA37/AA43</f>
        <v/>
      </c>
      <c r="AB41" s="40">
        <f>AB37/AB43</f>
        <v/>
      </c>
      <c r="AC41" s="40">
        <f>AC37/AC43</f>
        <v/>
      </c>
      <c r="AD41" s="40">
        <f>AD37/AD43</f>
        <v/>
      </c>
      <c r="AE41" s="40">
        <f>AE37/AE43</f>
        <v/>
      </c>
    </row>
    <row r="42">
      <c r="C42" s="12" t="inlineStr">
        <is>
          <t>EPS, Diluted</t>
        </is>
      </c>
      <c r="G42" s="16" t="n">
        <v>0</v>
      </c>
      <c r="H42" s="16" t="n">
        <v>-0.34</v>
      </c>
      <c r="I42" s="16" t="n">
        <v>-0.3</v>
      </c>
      <c r="J42" s="16" t="n">
        <v>0</v>
      </c>
      <c r="K42" s="16" t="n">
        <v>-7.29</v>
      </c>
      <c r="L42" s="16" t="n">
        <v>-0.15</v>
      </c>
      <c r="M42" s="16" t="n">
        <v>-0.12</v>
      </c>
      <c r="N42" s="16" t="n">
        <v>0.13</v>
      </c>
      <c r="O42" s="40">
        <f>O37/O44</f>
        <v/>
      </c>
      <c r="P42" s="40">
        <f>P37/P44</f>
        <v/>
      </c>
      <c r="Q42" s="40">
        <f>Q37/Q44</f>
        <v/>
      </c>
      <c r="R42" s="40">
        <f>R37/R44</f>
        <v/>
      </c>
      <c r="S42" s="40">
        <f>S37/S44</f>
        <v/>
      </c>
      <c r="T42" s="40">
        <f>T37/T44</f>
        <v/>
      </c>
      <c r="U42" s="40">
        <f>U37/U44</f>
        <v/>
      </c>
      <c r="V42" s="40">
        <f>V37/V44</f>
        <v/>
      </c>
      <c r="X42" s="16" t="n">
        <v>-3.22</v>
      </c>
      <c r="Y42" s="16" t="n">
        <v>-0.39</v>
      </c>
      <c r="Z42" s="16" t="n">
        <v>-4.27</v>
      </c>
      <c r="AA42" s="40">
        <f>AA37/AA44</f>
        <v/>
      </c>
      <c r="AB42" s="40">
        <f>AB37/AB44</f>
        <v/>
      </c>
      <c r="AC42" s="40">
        <f>AC37/AC44</f>
        <v/>
      </c>
      <c r="AD42" s="40">
        <f>AD37/AD44</f>
        <v/>
      </c>
      <c r="AE42" s="40">
        <f>AE37/AE44</f>
        <v/>
      </c>
    </row>
    <row r="43">
      <c r="C43" s="12" t="inlineStr">
        <is>
          <t>Weighted Avg Shares — Basic (M)</t>
        </is>
      </c>
      <c r="G43" s="38" t="n">
        <v>64.678</v>
      </c>
      <c r="H43" s="38" t="n">
        <v>65.149</v>
      </c>
      <c r="I43" s="38" t="n">
        <v>65.36499999999999</v>
      </c>
      <c r="J43" s="38" t="n">
        <v>65.869</v>
      </c>
      <c r="K43" s="38" t="n">
        <v>126.62</v>
      </c>
      <c r="L43" s="38" t="n">
        <v>371.83</v>
      </c>
      <c r="M43" s="38" t="n">
        <v>375.866</v>
      </c>
      <c r="N43" s="38" t="n">
        <v>381.637</v>
      </c>
      <c r="O43" s="38" t="n">
        <v>375.866</v>
      </c>
      <c r="P43" s="38" t="n">
        <v>375.866</v>
      </c>
      <c r="Q43" s="38" t="n">
        <v>375.866</v>
      </c>
      <c r="R43" s="38" t="n">
        <v>375.866</v>
      </c>
      <c r="S43" s="38" t="n">
        <v>375.866</v>
      </c>
      <c r="T43" s="38" t="n">
        <v>375.866</v>
      </c>
      <c r="U43" s="38" t="n">
        <v>375.866</v>
      </c>
      <c r="V43" s="38" t="n">
        <v>375.866</v>
      </c>
      <c r="X43" s="38" t="n">
        <v>63.104</v>
      </c>
      <c r="Y43" s="38" t="n">
        <v>64.91</v>
      </c>
      <c r="Z43" s="38" t="n">
        <v>236.27</v>
      </c>
      <c r="AA43" s="38" t="n">
        <v>375.866</v>
      </c>
      <c r="AB43" s="38" t="n">
        <v>375.866</v>
      </c>
      <c r="AC43" s="38" t="n">
        <v>375.866</v>
      </c>
      <c r="AD43" s="38" t="n">
        <v>375.866</v>
      </c>
      <c r="AE43" s="38" t="n">
        <v>375.866</v>
      </c>
    </row>
    <row r="44">
      <c r="C44" s="12" t="inlineStr">
        <is>
          <t>Weighted Avg Shares — Diluted (M)</t>
        </is>
      </c>
      <c r="G44" s="38" t="n">
        <v>64.678</v>
      </c>
      <c r="H44" s="38" t="n">
        <v>65.149</v>
      </c>
      <c r="I44" s="38" t="n">
        <v>65.36499999999999</v>
      </c>
      <c r="J44" s="38" t="n">
        <v>65.869</v>
      </c>
      <c r="K44" s="38" t="n">
        <v>126.62</v>
      </c>
      <c r="L44" s="38" t="n">
        <v>371.83</v>
      </c>
      <c r="M44" s="38" t="n">
        <v>375.866</v>
      </c>
      <c r="N44" s="38" t="n">
        <v>400.477</v>
      </c>
      <c r="O44" s="38" t="n">
        <v>375.866</v>
      </c>
      <c r="P44" s="38" t="n">
        <v>375.866</v>
      </c>
      <c r="Q44" s="38" t="n">
        <v>375.866</v>
      </c>
      <c r="R44" s="38" t="n">
        <v>375.866</v>
      </c>
      <c r="S44" s="38" t="n">
        <v>375.866</v>
      </c>
      <c r="T44" s="38" t="n">
        <v>375.866</v>
      </c>
      <c r="U44" s="38" t="n">
        <v>375.866</v>
      </c>
      <c r="V44" s="38" t="n">
        <v>375.866</v>
      </c>
      <c r="X44" s="38" t="n">
        <v>63.104</v>
      </c>
      <c r="Y44" s="38" t="n">
        <v>64.91</v>
      </c>
      <c r="Z44" s="38" t="n">
        <v>236.27</v>
      </c>
      <c r="AA44" s="38" t="n">
        <v>375.866</v>
      </c>
      <c r="AB44" s="38" t="n">
        <v>375.866</v>
      </c>
      <c r="AC44" s="38" t="n">
        <v>375.866</v>
      </c>
      <c r="AD44" s="38" t="n">
        <v>375.866</v>
      </c>
      <c r="AE44" s="38" t="n">
        <v>375.866</v>
      </c>
    </row>
    <row r="45"/>
    <row r="46"/>
    <row r="47">
      <c r="B47" s="7" t="inlineStr">
        <is>
          <t>Ratios &amp; Assumptions</t>
        </is>
      </c>
      <c r="C47" s="7" t="n"/>
      <c r="D47" s="7" t="n"/>
      <c r="E47" s="7" t="n"/>
      <c r="F47" s="7" t="n"/>
      <c r="G47" s="7" t="n"/>
      <c r="H47" s="7" t="n"/>
      <c r="I47" s="7" t="n"/>
      <c r="J47" s="7" t="n"/>
      <c r="K47" s="7" t="n"/>
      <c r="L47" s="7" t="n"/>
      <c r="M47" s="7" t="n"/>
      <c r="N47" s="7" t="n"/>
      <c r="O47" s="7" t="n"/>
      <c r="P47" s="7" t="n"/>
      <c r="Q47" s="7" t="n"/>
      <c r="R47" s="7" t="n"/>
      <c r="S47" s="7" t="n"/>
      <c r="T47" s="7" t="n"/>
      <c r="U47" s="7" t="n"/>
      <c r="V47" s="7" t="n"/>
      <c r="X47" s="7" t="n"/>
      <c r="Y47" s="7" t="n"/>
      <c r="Z47" s="7" t="n"/>
      <c r="AA47" s="7" t="n"/>
      <c r="AB47" s="7" t="n"/>
      <c r="AC47" s="7" t="n"/>
      <c r="AD47" s="7" t="n"/>
      <c r="AE47" s="7" t="n"/>
    </row>
    <row r="48"/>
    <row r="49">
      <c r="D49" s="12" t="inlineStr">
        <is>
          <t>YoY Revenue Growth</t>
        </is>
      </c>
      <c r="G49" s="41">
        <f>IFERROR(G10/INDIRECT(ADDRESS(10,COLUMN()-4))-1,"")</f>
        <v/>
      </c>
      <c r="H49" s="41">
        <f>IFERROR(H10/INDIRECT(ADDRESS(10,COLUMN()-4))-1,"")</f>
        <v/>
      </c>
      <c r="I49" s="41">
        <f>IFERROR(I10/INDIRECT(ADDRESS(10,COLUMN()-4))-1,"")</f>
        <v/>
      </c>
      <c r="J49" s="41">
        <f>IFERROR(J10/INDIRECT(ADDRESS(10,COLUMN()-4))-1,"")</f>
        <v/>
      </c>
      <c r="K49" s="41">
        <f>IFERROR(K10/INDIRECT(ADDRESS(10,COLUMN()-4))-1,"")</f>
        <v/>
      </c>
      <c r="L49" s="41">
        <f>IFERROR(L10/INDIRECT(ADDRESS(10,COLUMN()-4))-1,"")</f>
        <v/>
      </c>
      <c r="M49" s="41">
        <f>IFERROR(M10/INDIRECT(ADDRESS(10,COLUMN()-4))-1,"")</f>
        <v/>
      </c>
      <c r="N49" s="41">
        <f>IFERROR(N10/INDIRECT(ADDRESS(10,COLUMN()-4))-1,"")</f>
        <v/>
      </c>
      <c r="O49" s="41">
        <f>IFERROR(O10/K10-1,"")</f>
        <v/>
      </c>
      <c r="P49" s="41">
        <f>IFERROR(P10/L10-1,"")</f>
        <v/>
      </c>
      <c r="Q49" s="41">
        <f>IFERROR(Q10/M10-1,"")</f>
        <v/>
      </c>
      <c r="R49" s="41">
        <f>IFERROR(R10/N10-1,"")</f>
        <v/>
      </c>
      <c r="S49" s="41">
        <f>IFERROR(S10/O10-1,"")</f>
        <v/>
      </c>
      <c r="T49" s="41">
        <f>IFERROR(T10/P10-1,"")</f>
        <v/>
      </c>
      <c r="U49" s="41">
        <f>IFERROR(U10/Q10-1,"")</f>
        <v/>
      </c>
      <c r="V49" s="41">
        <f>IFERROR(V10/R10-1,"")</f>
        <v/>
      </c>
      <c r="X49" s="41">
        <f>IFERROR(X10/INDIRECT(ADDRESS(10,COLUMN()-4))-1,"")</f>
        <v/>
      </c>
      <c r="Y49" s="41">
        <f>IFERROR(Y10/INDIRECT(ADDRESS(10,COLUMN()-4))-1,"")</f>
        <v/>
      </c>
      <c r="Z49" s="41">
        <f>IFERROR(Z10/INDIRECT(ADDRESS(10,COLUMN()-4))-1,"")</f>
        <v/>
      </c>
      <c r="AA49" s="41">
        <f>IFERROR(AA10/Z10-1,"")</f>
        <v/>
      </c>
      <c r="AB49" s="41">
        <f>IFERROR(AB10/AA10-1,"")</f>
        <v/>
      </c>
      <c r="AC49" s="41">
        <f>IFERROR(AC10/AB10-1,"")</f>
        <v/>
      </c>
      <c r="AD49" s="41">
        <f>IFERROR(AD10/AC10-1,"")</f>
        <v/>
      </c>
      <c r="AE49" s="41">
        <f>IFERROR(AE10/AD10-1,"")</f>
        <v/>
      </c>
    </row>
    <row r="50"/>
    <row r="51">
      <c r="D51" s="12" t="inlineStr">
        <is>
          <t>Gross Margin</t>
        </is>
      </c>
      <c r="G51" s="41">
        <f>IFERROR(G14/G10,"")</f>
        <v/>
      </c>
      <c r="H51" s="41">
        <f>IFERROR(H14/H10,"")</f>
        <v/>
      </c>
      <c r="I51" s="41">
        <f>IFERROR(I14/I10,"")</f>
        <v/>
      </c>
      <c r="J51" s="41">
        <f>IFERROR(J14/J10,"")</f>
        <v/>
      </c>
      <c r="K51" s="41">
        <f>IFERROR(K14/K10,"")</f>
        <v/>
      </c>
      <c r="L51" s="41">
        <f>IFERROR(L14/L10,"")</f>
        <v/>
      </c>
      <c r="M51" s="41">
        <f>IFERROR(M14/M10,"")</f>
        <v/>
      </c>
      <c r="N51" s="41">
        <f>IFERROR(N14/N10,"")</f>
        <v/>
      </c>
      <c r="O51" s="41">
        <f>IFERROR(O14/O10,"")</f>
        <v/>
      </c>
      <c r="P51" s="41">
        <f>IFERROR(P14/P10,"")</f>
        <v/>
      </c>
      <c r="Q51" s="41">
        <f>IFERROR(Q14/Q10,"")</f>
        <v/>
      </c>
      <c r="R51" s="41">
        <f>IFERROR(R14/R10,"")</f>
        <v/>
      </c>
      <c r="S51" s="41">
        <f>IFERROR(S14/S10,"")</f>
        <v/>
      </c>
      <c r="T51" s="41">
        <f>IFERROR(T14/T10,"")</f>
        <v/>
      </c>
      <c r="U51" s="41">
        <f>IFERROR(U14/U10,"")</f>
        <v/>
      </c>
      <c r="V51" s="41">
        <f>IFERROR(V14/V10,"")</f>
        <v/>
      </c>
      <c r="X51" s="41">
        <f>IFERROR(X14/X10,"")</f>
        <v/>
      </c>
      <c r="Y51" s="41">
        <f>IFERROR(Y14/Y10,"")</f>
        <v/>
      </c>
      <c r="Z51" s="41">
        <f>IFERROR(Z14/Z10,"")</f>
        <v/>
      </c>
      <c r="AA51" s="41">
        <f>IFERROR(AA14/AA10,"")</f>
        <v/>
      </c>
      <c r="AB51" s="41">
        <f>IFERROR(AB14/AB10,"")</f>
        <v/>
      </c>
      <c r="AC51" s="41">
        <f>IFERROR(AC14/AC10,"")</f>
        <v/>
      </c>
      <c r="AD51" s="41">
        <f>IFERROR(AD14/AD10,"")</f>
        <v/>
      </c>
      <c r="AE51" s="41">
        <f>IFERROR(AE14/AE10,"")</f>
        <v/>
      </c>
    </row>
    <row r="52">
      <c r="D52" s="12" t="inlineStr">
        <is>
          <t>Cost of Revenue (% of Revenue)</t>
        </is>
      </c>
      <c r="G52" s="41">
        <f>IFERROR(-G12/G10,"")</f>
        <v/>
      </c>
      <c r="H52" s="41">
        <f>IFERROR(-H12/H10,"")</f>
        <v/>
      </c>
      <c r="I52" s="41">
        <f>IFERROR(-I12/I10,"")</f>
        <v/>
      </c>
      <c r="J52" s="41">
        <f>IFERROR(-J12/J10,"")</f>
        <v/>
      </c>
      <c r="K52" s="41">
        <f>IFERROR(-K12/K10,"")</f>
        <v/>
      </c>
      <c r="L52" s="41">
        <f>IFERROR(-L12/L10,"")</f>
        <v/>
      </c>
      <c r="M52" s="41">
        <f>IFERROR(-M12/M10,"")</f>
        <v/>
      </c>
      <c r="N52" s="41">
        <f>IFERROR(-N12/N10,"")</f>
        <v/>
      </c>
      <c r="O52" s="41">
        <f>IFERROR(-O12/O10,"")</f>
        <v/>
      </c>
      <c r="P52" s="41">
        <f>IFERROR(-P12/P10,"")</f>
        <v/>
      </c>
      <c r="Q52" s="41">
        <f>IFERROR(-Q12/Q10,"")</f>
        <v/>
      </c>
      <c r="R52" s="41">
        <f>IFERROR(-R12/R10,"")</f>
        <v/>
      </c>
      <c r="S52" s="41">
        <f>IFERROR(-S12/S10,"")</f>
        <v/>
      </c>
      <c r="T52" s="41">
        <f>IFERROR(-T12/T10,"")</f>
        <v/>
      </c>
      <c r="U52" s="41">
        <f>IFERROR(-U12/U10,"")</f>
        <v/>
      </c>
      <c r="V52" s="41">
        <f>IFERROR(-V12/V10,"")</f>
        <v/>
      </c>
      <c r="X52" s="41">
        <f>IFERROR(-X12/X10,"")</f>
        <v/>
      </c>
      <c r="Y52" s="41">
        <f>IFERROR(-Y12/Y10,"")</f>
        <v/>
      </c>
      <c r="Z52" s="41">
        <f>IFERROR(-Z12/Z10,"")</f>
        <v/>
      </c>
      <c r="AA52" s="41">
        <f>IFERROR(-AA12/AA10,"")</f>
        <v/>
      </c>
      <c r="AB52" s="41">
        <f>IFERROR(-AB12/AB10,"")</f>
        <v/>
      </c>
      <c r="AC52" s="41">
        <f>IFERROR(-AC12/AC10,"")</f>
        <v/>
      </c>
      <c r="AD52" s="41">
        <f>IFERROR(-AD12/AD10,"")</f>
        <v/>
      </c>
      <c r="AE52" s="41">
        <f>IFERROR(-AE12/AE10,"")</f>
        <v/>
      </c>
    </row>
    <row r="53"/>
    <row r="54">
      <c r="D54" s="12" t="inlineStr">
        <is>
          <t>Transaction &amp; Risk Losses (% of Revenue) [DRIVER]</t>
        </is>
      </c>
      <c r="G54" s="41">
        <f>IFERROR(-G17/G10,"")</f>
        <v/>
      </c>
      <c r="H54" s="41">
        <f>IFERROR(-H17/H10,"")</f>
        <v/>
      </c>
      <c r="I54" s="41">
        <f>IFERROR(-I17/I10,"")</f>
        <v/>
      </c>
      <c r="J54" s="41">
        <f>IFERROR(-J17/J10,"")</f>
        <v/>
      </c>
      <c r="K54" s="41">
        <f>IFERROR(-K17/K10,"")</f>
        <v/>
      </c>
      <c r="L54" s="41">
        <f>IFERROR(-L17/L10,"")</f>
        <v/>
      </c>
      <c r="M54" s="41">
        <f>IFERROR(-M17/M10,"")</f>
        <v/>
      </c>
      <c r="N54" s="41">
        <f>IFERROR(-N17/N10,"")</f>
        <v/>
      </c>
      <c r="O54" s="42" t="n">
        <v>0.142</v>
      </c>
      <c r="P54" s="42" t="n">
        <v>0.137</v>
      </c>
      <c r="Q54" s="42" t="n">
        <v>0.132</v>
      </c>
      <c r="R54" s="42" t="n">
        <v>0.132</v>
      </c>
      <c r="S54" s="42" t="n">
        <v>0.127</v>
      </c>
      <c r="T54" s="42" t="n">
        <v>0.122</v>
      </c>
      <c r="U54" s="42" t="n">
        <v>0.118</v>
      </c>
      <c r="V54" s="42" t="n">
        <v>0.115</v>
      </c>
      <c r="X54" s="41">
        <f>IFERROR(-X17/X10,"")</f>
        <v/>
      </c>
      <c r="Y54" s="41">
        <f>IFERROR(-Y17/Y10,"")</f>
        <v/>
      </c>
      <c r="Z54" s="41">
        <f>IFERROR(-Z17/Z10,"")</f>
        <v/>
      </c>
      <c r="AA54" s="42" t="n">
        <v>0.137</v>
      </c>
      <c r="AB54" s="42" t="n">
        <v>0.1245</v>
      </c>
      <c r="AC54" s="42" t="n">
        <v>0.115</v>
      </c>
      <c r="AD54" s="42" t="n">
        <v>0.108</v>
      </c>
      <c r="AE54" s="42" t="n">
        <v>0.1</v>
      </c>
    </row>
    <row r="55">
      <c r="D55" s="12" t="inlineStr">
        <is>
          <t>Member Support &amp; Ops (% of Revenue) [DRIVER]</t>
        </is>
      </c>
      <c r="G55" s="41">
        <f>IFERROR(-G18/G10,"")</f>
        <v/>
      </c>
      <c r="H55" s="41">
        <f>IFERROR(-H18/H10,"")</f>
        <v/>
      </c>
      <c r="I55" s="41">
        <f>IFERROR(-I18/I10,"")</f>
        <v/>
      </c>
      <c r="J55" s="41">
        <f>IFERROR(-J18/J10,"")</f>
        <v/>
      </c>
      <c r="K55" s="41">
        <f>IFERROR(-K18/K10,"")</f>
        <v/>
      </c>
      <c r="L55" s="41">
        <f>IFERROR(-L18/L10,"")</f>
        <v/>
      </c>
      <c r="M55" s="41">
        <f>IFERROR(-M18/M10,"")</f>
        <v/>
      </c>
      <c r="N55" s="41">
        <f>IFERROR(-N18/N10,"")</f>
        <v/>
      </c>
      <c r="O55" s="42" t="n">
        <v>0.152</v>
      </c>
      <c r="P55" s="42" t="n">
        <v>0.147</v>
      </c>
      <c r="Q55" s="42" t="n">
        <v>0.145</v>
      </c>
      <c r="R55" s="42" t="n">
        <v>0.142</v>
      </c>
      <c r="S55" s="42" t="n">
        <v>0.14</v>
      </c>
      <c r="T55" s="42" t="n">
        <v>0.135</v>
      </c>
      <c r="U55" s="42" t="n">
        <v>0.132</v>
      </c>
      <c r="V55" s="42" t="n">
        <v>0.128</v>
      </c>
      <c r="X55" s="41">
        <f>IFERROR(-X18/X10,"")</f>
        <v/>
      </c>
      <c r="Y55" s="41">
        <f>IFERROR(-Y18/Y10,"")</f>
        <v/>
      </c>
      <c r="Z55" s="41">
        <f>IFERROR(-Z18/Z10,"")</f>
        <v/>
      </c>
      <c r="AA55" s="42" t="n">
        <v>0.1477</v>
      </c>
      <c r="AB55" s="42" t="n">
        <v>0.1371</v>
      </c>
      <c r="AC55" s="42" t="n">
        <v>0.128</v>
      </c>
      <c r="AD55" s="42" t="n">
        <v>0.12</v>
      </c>
      <c r="AE55" s="42" t="n">
        <v>0.112</v>
      </c>
    </row>
    <row r="56">
      <c r="D56" s="12" t="inlineStr">
        <is>
          <t>Sales &amp; Marketing (% of Revenue) [DRIVER]</t>
        </is>
      </c>
      <c r="G56" s="41">
        <f>IFERROR(-G19/G10,"")</f>
        <v/>
      </c>
      <c r="H56" s="41">
        <f>IFERROR(-H19/H10,"")</f>
        <v/>
      </c>
      <c r="I56" s="41">
        <f>IFERROR(-I19/I10,"")</f>
        <v/>
      </c>
      <c r="J56" s="41">
        <f>IFERROR(-J19/J10,"")</f>
        <v/>
      </c>
      <c r="K56" s="41">
        <f>IFERROR(-K19/K10,"")</f>
        <v/>
      </c>
      <c r="L56" s="41">
        <f>IFERROR(-L19/L10,"")</f>
        <v/>
      </c>
      <c r="M56" s="41">
        <f>IFERROR(-M19/M10,"")</f>
        <v/>
      </c>
      <c r="N56" s="41">
        <f>IFERROR(-N19/N10,"")</f>
        <v/>
      </c>
      <c r="O56" s="42" t="n">
        <v>0.275</v>
      </c>
      <c r="P56" s="42" t="n">
        <v>0.265</v>
      </c>
      <c r="Q56" s="42" t="n">
        <v>0.26</v>
      </c>
      <c r="R56" s="42" t="n">
        <v>0.255</v>
      </c>
      <c r="S56" s="42" t="n">
        <v>0.265</v>
      </c>
      <c r="T56" s="42" t="n">
        <v>0.26</v>
      </c>
      <c r="U56" s="42" t="n">
        <v>0.255</v>
      </c>
      <c r="V56" s="42" t="n">
        <v>0.25</v>
      </c>
      <c r="X56" s="41">
        <f>IFERROR(-X19/X10,"")</f>
        <v/>
      </c>
      <c r="Y56" s="41">
        <f>IFERROR(-Y19/Y10,"")</f>
        <v/>
      </c>
      <c r="Z56" s="41">
        <f>IFERROR(-Z19/Z10,"")</f>
        <v/>
      </c>
      <c r="AA56" s="42" t="n">
        <v>0.2638</v>
      </c>
      <c r="AB56" s="42" t="n">
        <v>0.2587</v>
      </c>
      <c r="AC56" s="42" t="n">
        <v>0.245</v>
      </c>
      <c r="AD56" s="42" t="n">
        <v>0.235</v>
      </c>
      <c r="AE56" s="42" t="n">
        <v>0.225</v>
      </c>
    </row>
    <row r="57">
      <c r="D57" s="12" t="inlineStr">
        <is>
          <t>Technology &amp; Development (% of Revenue) [DRIVER]</t>
        </is>
      </c>
      <c r="G57" s="41">
        <f>IFERROR(-G20/G10,"")</f>
        <v/>
      </c>
      <c r="H57" s="41">
        <f>IFERROR(-H20/H10,"")</f>
        <v/>
      </c>
      <c r="I57" s="41">
        <f>IFERROR(-I20/I10,"")</f>
        <v/>
      </c>
      <c r="J57" s="41">
        <f>IFERROR(-J20/J10,"")</f>
        <v/>
      </c>
      <c r="K57" s="41">
        <f>IFERROR(-K20/K10,"")</f>
        <v/>
      </c>
      <c r="L57" s="41">
        <f>IFERROR(-L20/L10,"")</f>
        <v/>
      </c>
      <c r="M57" s="41">
        <f>IFERROR(-M20/M10,"")</f>
        <v/>
      </c>
      <c r="N57" s="41">
        <f>IFERROR(-N20/N10,"")</f>
        <v/>
      </c>
      <c r="O57" s="42" t="n">
        <v>0.175</v>
      </c>
      <c r="P57" s="42" t="n">
        <v>0.17</v>
      </c>
      <c r="Q57" s="42" t="n">
        <v>0.165</v>
      </c>
      <c r="R57" s="42" t="n">
        <v>0.16</v>
      </c>
      <c r="S57" s="42" t="n">
        <v>0.158</v>
      </c>
      <c r="T57" s="42" t="n">
        <v>0.155</v>
      </c>
      <c r="U57" s="42" t="n">
        <v>0.15</v>
      </c>
      <c r="V57" s="42" t="n">
        <v>0.147</v>
      </c>
      <c r="X57" s="41">
        <f>IFERROR(-X20/X10,"")</f>
        <v/>
      </c>
      <c r="Y57" s="41">
        <f>IFERROR(-Y20/Y10,"")</f>
        <v/>
      </c>
      <c r="Z57" s="41">
        <f>IFERROR(-Z20/Z10,"")</f>
        <v/>
      </c>
      <c r="AA57" s="42" t="n">
        <v>0.1698</v>
      </c>
      <c r="AB57" s="42" t="n">
        <v>0.1556</v>
      </c>
      <c r="AC57" s="42" t="n">
        <v>0.147</v>
      </c>
      <c r="AD57" s="42" t="n">
        <v>0.138</v>
      </c>
      <c r="AE57" s="42" t="n">
        <v>0.128</v>
      </c>
    </row>
    <row r="58">
      <c r="D58" s="12" t="inlineStr">
        <is>
          <t>G&amp;A (% of Revenue) [DRIVER]</t>
        </is>
      </c>
      <c r="G58" s="41">
        <f>IFERROR(-G21/G10,"")</f>
        <v/>
      </c>
      <c r="H58" s="41">
        <f>IFERROR(-H21/H10,"")</f>
        <v/>
      </c>
      <c r="I58" s="41">
        <f>IFERROR(-I21/I10,"")</f>
        <v/>
      </c>
      <c r="J58" s="41">
        <f>IFERROR(-J21/J10,"")</f>
        <v/>
      </c>
      <c r="K58" s="41">
        <f>IFERROR(-K21/K10,"")</f>
        <v/>
      </c>
      <c r="L58" s="41">
        <f>IFERROR(-L21/L10,"")</f>
        <v/>
      </c>
      <c r="M58" s="41">
        <f>IFERROR(-M21/M10,"")</f>
        <v/>
      </c>
      <c r="N58" s="41">
        <f>IFERROR(-N21/N10,"")</f>
        <v/>
      </c>
      <c r="O58" s="42" t="n">
        <v>0.11</v>
      </c>
      <c r="P58" s="42" t="n">
        <v>0.105</v>
      </c>
      <c r="Q58" s="42" t="n">
        <v>0.1</v>
      </c>
      <c r="R58" s="42" t="n">
        <v>0.095</v>
      </c>
      <c r="S58" s="42" t="n">
        <v>0.09</v>
      </c>
      <c r="T58" s="42" t="n">
        <v>0.08500000000000001</v>
      </c>
      <c r="U58" s="42" t="n">
        <v>0.082</v>
      </c>
      <c r="V58" s="42" t="n">
        <v>0.078</v>
      </c>
      <c r="X58" s="41">
        <f>IFERROR(-X21/X10,"")</f>
        <v/>
      </c>
      <c r="Y58" s="41">
        <f>IFERROR(-Y21/Y10,"")</f>
        <v/>
      </c>
      <c r="Z58" s="41">
        <f>IFERROR(-Z21/Z10,"")</f>
        <v/>
      </c>
      <c r="AA58" s="42" t="n">
        <v>0.1058</v>
      </c>
      <c r="AB58" s="42" t="n">
        <v>0.0878</v>
      </c>
      <c r="AC58" s="42" t="n">
        <v>0.08</v>
      </c>
      <c r="AD58" s="42" t="n">
        <v>0.073</v>
      </c>
      <c r="AE58" s="42" t="n">
        <v>0.068</v>
      </c>
    </row>
    <row r="59">
      <c r="D59" s="12" t="inlineStr">
        <is>
          <t>D&amp;A on IS (% of Revenue)</t>
        </is>
      </c>
      <c r="G59" s="41">
        <f>IFERROR(-G22/G10,"")</f>
        <v/>
      </c>
      <c r="H59" s="41">
        <f>IFERROR(-H22/H10,"")</f>
        <v/>
      </c>
      <c r="I59" s="41">
        <f>IFERROR(-I22/I10,"")</f>
        <v/>
      </c>
      <c r="J59" s="41">
        <f>IFERROR(-J22/J10,"")</f>
        <v/>
      </c>
      <c r="K59" s="41">
        <f>IFERROR(-K22/K10,"")</f>
        <v/>
      </c>
      <c r="L59" s="41">
        <f>IFERROR(-L22/L10,"")</f>
        <v/>
      </c>
      <c r="M59" s="41">
        <f>IFERROR(-M22/M10,"")</f>
        <v/>
      </c>
      <c r="N59" s="41">
        <f>IFERROR(-N22/N10,"")</f>
        <v/>
      </c>
      <c r="O59" s="42" t="n">
        <v>0.0065</v>
      </c>
      <c r="P59" s="42" t="n">
        <v>0.0065</v>
      </c>
      <c r="Q59" s="42" t="n">
        <v>0.0065</v>
      </c>
      <c r="R59" s="42" t="n">
        <v>0.0065</v>
      </c>
      <c r="S59" s="42" t="n">
        <v>0.0065</v>
      </c>
      <c r="T59" s="42" t="n">
        <v>0.0065</v>
      </c>
      <c r="U59" s="42" t="n">
        <v>0.0065</v>
      </c>
      <c r="V59" s="42" t="n">
        <v>0.0065</v>
      </c>
      <c r="X59" s="41">
        <f>IFERROR(-X22/X10,"")</f>
        <v/>
      </c>
      <c r="Y59" s="41">
        <f>IFERROR(-Y22/Y10,"")</f>
        <v/>
      </c>
      <c r="Z59" s="41">
        <f>IFERROR(-Z22/Z10,"")</f>
        <v/>
      </c>
      <c r="AA59" s="42" t="n">
        <v>0.0065</v>
      </c>
      <c r="AB59" s="42" t="n">
        <v>0.0065</v>
      </c>
      <c r="AC59" s="42" t="n">
        <v>0.0065</v>
      </c>
      <c r="AD59" s="42" t="n">
        <v>0.0065</v>
      </c>
      <c r="AE59" s="42" t="n">
        <v>0.0065</v>
      </c>
    </row>
    <row r="60">
      <c r="D60" s="12" t="inlineStr">
        <is>
          <t>Total OpEx (% of Revenue)</t>
        </is>
      </c>
      <c r="G60" s="41">
        <f>IFERROR(-G23/G10,"")</f>
        <v/>
      </c>
      <c r="H60" s="41">
        <f>IFERROR(-H23/H10,"")</f>
        <v/>
      </c>
      <c r="I60" s="41">
        <f>IFERROR(-I23/I10,"")</f>
        <v/>
      </c>
      <c r="J60" s="41">
        <f>IFERROR(-J23/J10,"")</f>
        <v/>
      </c>
      <c r="K60" s="41">
        <f>IFERROR(-K23/K10,"")</f>
        <v/>
      </c>
      <c r="L60" s="41">
        <f>IFERROR(-L23/L10,"")</f>
        <v/>
      </c>
      <c r="M60" s="41">
        <f>IFERROR(-M23/M10,"")</f>
        <v/>
      </c>
      <c r="N60" s="41">
        <f>IFERROR(-N23/N10,"")</f>
        <v/>
      </c>
      <c r="O60" s="41">
        <f>IFERROR(-O23/O10,"")</f>
        <v/>
      </c>
      <c r="P60" s="41">
        <f>IFERROR(-P23/P10,"")</f>
        <v/>
      </c>
      <c r="Q60" s="41">
        <f>IFERROR(-Q23/Q10,"")</f>
        <v/>
      </c>
      <c r="R60" s="41">
        <f>IFERROR(-R23/R10,"")</f>
        <v/>
      </c>
      <c r="S60" s="41">
        <f>IFERROR(-S23/S10,"")</f>
        <v/>
      </c>
      <c r="T60" s="41">
        <f>IFERROR(-T23/T10,"")</f>
        <v/>
      </c>
      <c r="U60" s="41">
        <f>IFERROR(-U23/U10,"")</f>
        <v/>
      </c>
      <c r="V60" s="41">
        <f>IFERROR(-V23/V10,"")</f>
        <v/>
      </c>
      <c r="X60" s="41">
        <f>IFERROR(-X23/X10,"")</f>
        <v/>
      </c>
      <c r="Y60" s="41">
        <f>IFERROR(-Y23/Y10,"")</f>
        <v/>
      </c>
      <c r="Z60" s="41">
        <f>IFERROR(-Z23/Z10,"")</f>
        <v/>
      </c>
      <c r="AA60" s="41">
        <f>IFERROR(-AA23/AA10,"")</f>
        <v/>
      </c>
      <c r="AB60" s="41">
        <f>IFERROR(-AB23/AB10,"")</f>
        <v/>
      </c>
      <c r="AC60" s="41">
        <f>IFERROR(-AC23/AC10,"")</f>
        <v/>
      </c>
      <c r="AD60" s="41">
        <f>IFERROR(-AD23/AD10,"")</f>
        <v/>
      </c>
      <c r="AE60" s="41">
        <f>IFERROR(-AE23/AE10,"")</f>
        <v/>
      </c>
    </row>
    <row r="61"/>
    <row r="62">
      <c r="D62" s="12" t="inlineStr">
        <is>
          <t>Operating Margin</t>
        </is>
      </c>
      <c r="G62" s="41">
        <f>IFERROR(G26/G10,"")</f>
        <v/>
      </c>
      <c r="H62" s="41">
        <f>IFERROR(H26/H10,"")</f>
        <v/>
      </c>
      <c r="I62" s="41">
        <f>IFERROR(I26/I10,"")</f>
        <v/>
      </c>
      <c r="J62" s="41">
        <f>IFERROR(J26/J10,"")</f>
        <v/>
      </c>
      <c r="K62" s="41">
        <f>IFERROR(K26/K10,"")</f>
        <v/>
      </c>
      <c r="L62" s="41">
        <f>IFERROR(L26/L10,"")</f>
        <v/>
      </c>
      <c r="M62" s="41">
        <f>IFERROR(M26/M10,"")</f>
        <v/>
      </c>
      <c r="N62" s="41">
        <f>IFERROR(N26/N10,"")</f>
        <v/>
      </c>
      <c r="O62" s="41">
        <f>IFERROR(O26/O10,"")</f>
        <v/>
      </c>
      <c r="P62" s="41">
        <f>IFERROR(P26/P10,"")</f>
        <v/>
      </c>
      <c r="Q62" s="41">
        <f>IFERROR(Q26/Q10,"")</f>
        <v/>
      </c>
      <c r="R62" s="41">
        <f>IFERROR(R26/R10,"")</f>
        <v/>
      </c>
      <c r="S62" s="41">
        <f>IFERROR(S26/S10,"")</f>
        <v/>
      </c>
      <c r="T62" s="41">
        <f>IFERROR(T26/T10,"")</f>
        <v/>
      </c>
      <c r="U62" s="41">
        <f>IFERROR(U26/U10,"")</f>
        <v/>
      </c>
      <c r="V62" s="41">
        <f>IFERROR(V26/V10,"")</f>
        <v/>
      </c>
      <c r="X62" s="41">
        <f>IFERROR(X26/X10,"")</f>
        <v/>
      </c>
      <c r="Y62" s="41">
        <f>IFERROR(Y26/Y10,"")</f>
        <v/>
      </c>
      <c r="Z62" s="41">
        <f>IFERROR(Z26/Z10,"")</f>
        <v/>
      </c>
      <c r="AA62" s="41">
        <f>IFERROR(AA26/AA10,"")</f>
        <v/>
      </c>
      <c r="AB62" s="41">
        <f>IFERROR(AB26/AB10,"")</f>
        <v/>
      </c>
      <c r="AC62" s="41">
        <f>IFERROR(AC26/AC10,"")</f>
        <v/>
      </c>
      <c r="AD62" s="41">
        <f>IFERROR(AD26/AD10,"")</f>
        <v/>
      </c>
      <c r="AE62" s="41">
        <f>IFERROR(AE26/AE10,"")</f>
        <v/>
      </c>
    </row>
    <row r="63">
      <c r="D63" s="12" t="inlineStr">
        <is>
          <t>EBITDA Margin</t>
        </is>
      </c>
      <c r="G63" s="41">
        <f>IFERROR(G30/G10,"")</f>
        <v/>
      </c>
      <c r="H63" s="41">
        <f>IFERROR(H30/H10,"")</f>
        <v/>
      </c>
      <c r="I63" s="41">
        <f>IFERROR(I30/I10,"")</f>
        <v/>
      </c>
      <c r="J63" s="41">
        <f>IFERROR(J30/J10,"")</f>
        <v/>
      </c>
      <c r="K63" s="41">
        <f>IFERROR(K30/K10,"")</f>
        <v/>
      </c>
      <c r="L63" s="41">
        <f>IFERROR(L30/L10,"")</f>
        <v/>
      </c>
      <c r="M63" s="41">
        <f>IFERROR(M30/M10,"")</f>
        <v/>
      </c>
      <c r="N63" s="41">
        <f>IFERROR(N30/N10,"")</f>
        <v/>
      </c>
      <c r="O63" s="41">
        <f>IFERROR(O30/O10,"")</f>
        <v/>
      </c>
      <c r="P63" s="41">
        <f>IFERROR(P30/P10,"")</f>
        <v/>
      </c>
      <c r="Q63" s="41">
        <f>IFERROR(Q30/Q10,"")</f>
        <v/>
      </c>
      <c r="R63" s="41">
        <f>IFERROR(R30/R10,"")</f>
        <v/>
      </c>
      <c r="S63" s="41">
        <f>IFERROR(S30/S10,"")</f>
        <v/>
      </c>
      <c r="T63" s="41">
        <f>IFERROR(T30/T10,"")</f>
        <v/>
      </c>
      <c r="U63" s="41">
        <f>IFERROR(U30/U10,"")</f>
        <v/>
      </c>
      <c r="V63" s="41">
        <f>IFERROR(V30/V10,"")</f>
        <v/>
      </c>
      <c r="X63" s="41">
        <f>IFERROR(X30/X10,"")</f>
        <v/>
      </c>
      <c r="Y63" s="41">
        <f>IFERROR(Y30/Y10,"")</f>
        <v/>
      </c>
      <c r="Z63" s="41">
        <f>IFERROR(Z30/Z10,"")</f>
        <v/>
      </c>
      <c r="AA63" s="41">
        <f>IFERROR(AA30/AA10,"")</f>
        <v/>
      </c>
      <c r="AB63" s="41">
        <f>IFERROR(AB30/AB10,"")</f>
        <v/>
      </c>
      <c r="AC63" s="41">
        <f>IFERROR(AC30/AC10,"")</f>
        <v/>
      </c>
      <c r="AD63" s="41">
        <f>IFERROR(AD30/AD10,"")</f>
        <v/>
      </c>
      <c r="AE63" s="41">
        <f>IFERROR(AE30/AE10,"")</f>
        <v/>
      </c>
    </row>
    <row r="64">
      <c r="D64" s="12" t="inlineStr">
        <is>
          <t>Pretax Margin</t>
        </is>
      </c>
      <c r="G64" s="41">
        <f>IFERROR(G33/G10,"")</f>
        <v/>
      </c>
      <c r="H64" s="41">
        <f>IFERROR(H33/H10,"")</f>
        <v/>
      </c>
      <c r="I64" s="41">
        <f>IFERROR(I33/I10,"")</f>
        <v/>
      </c>
      <c r="J64" s="41">
        <f>IFERROR(J33/J10,"")</f>
        <v/>
      </c>
      <c r="K64" s="41">
        <f>IFERROR(K33/K10,"")</f>
        <v/>
      </c>
      <c r="L64" s="41">
        <f>IFERROR(L33/L10,"")</f>
        <v/>
      </c>
      <c r="M64" s="41">
        <f>IFERROR(M33/M10,"")</f>
        <v/>
      </c>
      <c r="N64" s="41">
        <f>IFERROR(N33/N10,"")</f>
        <v/>
      </c>
      <c r="O64" s="41">
        <f>IFERROR(O33/O10,"")</f>
        <v/>
      </c>
      <c r="P64" s="41">
        <f>IFERROR(P33/P10,"")</f>
        <v/>
      </c>
      <c r="Q64" s="41">
        <f>IFERROR(Q33/Q10,"")</f>
        <v/>
      </c>
      <c r="R64" s="41">
        <f>IFERROR(R33/R10,"")</f>
        <v/>
      </c>
      <c r="S64" s="41">
        <f>IFERROR(S33/S10,"")</f>
        <v/>
      </c>
      <c r="T64" s="41">
        <f>IFERROR(T33/T10,"")</f>
        <v/>
      </c>
      <c r="U64" s="41">
        <f>IFERROR(U33/U10,"")</f>
        <v/>
      </c>
      <c r="V64" s="41">
        <f>IFERROR(V33/V10,"")</f>
        <v/>
      </c>
      <c r="X64" s="41">
        <f>IFERROR(X33/X10,"")</f>
        <v/>
      </c>
      <c r="Y64" s="41">
        <f>IFERROR(Y33/Y10,"")</f>
        <v/>
      </c>
      <c r="Z64" s="41">
        <f>IFERROR(Z33/Z10,"")</f>
        <v/>
      </c>
      <c r="AA64" s="41">
        <f>IFERROR(AA33/AA10,"")</f>
        <v/>
      </c>
      <c r="AB64" s="41">
        <f>IFERROR(AB33/AB10,"")</f>
        <v/>
      </c>
      <c r="AC64" s="41">
        <f>IFERROR(AC33/AC10,"")</f>
        <v/>
      </c>
      <c r="AD64" s="41">
        <f>IFERROR(AD33/AD10,"")</f>
        <v/>
      </c>
      <c r="AE64" s="41">
        <f>IFERROR(AE33/AE10,"")</f>
        <v/>
      </c>
    </row>
    <row r="65">
      <c r="D65" s="12" t="inlineStr">
        <is>
          <t>Effective Tax Rate [DRIVER]</t>
        </is>
      </c>
      <c r="G65" s="41">
        <f>IFERROR(-G36/G33,"")</f>
        <v/>
      </c>
      <c r="H65" s="41">
        <f>IFERROR(-H36/H33,"")</f>
        <v/>
      </c>
      <c r="I65" s="41">
        <f>IFERROR(-I36/I33,"")</f>
        <v/>
      </c>
      <c r="J65" s="41">
        <f>IFERROR(-J36/J33,"")</f>
        <v/>
      </c>
      <c r="K65" s="41">
        <f>IFERROR(-K36/K33,"")</f>
        <v/>
      </c>
      <c r="L65" s="41">
        <f>IFERROR(-L36/L33,"")</f>
        <v/>
      </c>
      <c r="M65" s="41">
        <f>IFERROR(-M36/M33,"")</f>
        <v/>
      </c>
      <c r="N65" s="41">
        <f>IFERROR(-N36/N33,"")</f>
        <v/>
      </c>
      <c r="O65" s="41">
        <f>IFERROR(-O36/O33,"")</f>
        <v/>
      </c>
      <c r="P65" s="41">
        <f>IFERROR(-P36/P33,"")</f>
        <v/>
      </c>
      <c r="Q65" s="41">
        <f>IFERROR(-Q36/Q33,"")</f>
        <v/>
      </c>
      <c r="R65" s="41">
        <f>IFERROR(-R36/R33,"")</f>
        <v/>
      </c>
      <c r="S65" s="41">
        <f>IFERROR(-S36/S33,"")</f>
        <v/>
      </c>
      <c r="T65" s="41">
        <f>IFERROR(-T36/T33,"")</f>
        <v/>
      </c>
      <c r="U65" s="41">
        <f>IFERROR(-U36/U33,"")</f>
        <v/>
      </c>
      <c r="V65" s="41">
        <f>IFERROR(-V36/V33,"")</f>
        <v/>
      </c>
      <c r="X65" s="41">
        <f>IFERROR(-X36/X33,"")</f>
        <v/>
      </c>
      <c r="Y65" s="41">
        <f>IFERROR(-Y36/Y33,"")</f>
        <v/>
      </c>
      <c r="Z65" s="41">
        <f>IFERROR(-Z36/Z33,"")</f>
        <v/>
      </c>
      <c r="AA65" s="41">
        <f>IFERROR(-AA36/AA33,"")</f>
        <v/>
      </c>
      <c r="AB65" s="41">
        <f>IFERROR(-AB36/AB33,"")</f>
        <v/>
      </c>
      <c r="AC65" s="41">
        <f>IFERROR(-AC36/AC33,"")</f>
        <v/>
      </c>
      <c r="AD65" s="41">
        <f>IFERROR(-AD36/AD33,"")</f>
        <v/>
      </c>
      <c r="AE65" s="41">
        <f>IFERROR(-AE36/AE33,"")</f>
        <v/>
      </c>
    </row>
    <row r="66">
      <c r="D66" s="12" t="inlineStr">
        <is>
          <t>Net Margin</t>
        </is>
      </c>
      <c r="G66" s="41">
        <f>IFERROR(G37/G10,"")</f>
        <v/>
      </c>
      <c r="H66" s="41">
        <f>IFERROR(H37/H10,"")</f>
        <v/>
      </c>
      <c r="I66" s="41">
        <f>IFERROR(I37/I10,"")</f>
        <v/>
      </c>
      <c r="J66" s="41">
        <f>IFERROR(J37/J10,"")</f>
        <v/>
      </c>
      <c r="K66" s="41">
        <f>IFERROR(K37/K10,"")</f>
        <v/>
      </c>
      <c r="L66" s="41">
        <f>IFERROR(L37/L10,"")</f>
        <v/>
      </c>
      <c r="M66" s="41">
        <f>IFERROR(M37/M10,"")</f>
        <v/>
      </c>
      <c r="N66" s="41">
        <f>IFERROR(N37/N10,"")</f>
        <v/>
      </c>
      <c r="O66" s="41">
        <f>IFERROR(O37/O10,"")</f>
        <v/>
      </c>
      <c r="P66" s="41">
        <f>IFERROR(P37/P10,"")</f>
        <v/>
      </c>
      <c r="Q66" s="41">
        <f>IFERROR(Q37/Q10,"")</f>
        <v/>
      </c>
      <c r="R66" s="41">
        <f>IFERROR(R37/R10,"")</f>
        <v/>
      </c>
      <c r="S66" s="41">
        <f>IFERROR(S37/S10,"")</f>
        <v/>
      </c>
      <c r="T66" s="41">
        <f>IFERROR(T37/T10,"")</f>
        <v/>
      </c>
      <c r="U66" s="41">
        <f>IFERROR(U37/U10,"")</f>
        <v/>
      </c>
      <c r="V66" s="41">
        <f>IFERROR(V37/V10,"")</f>
        <v/>
      </c>
      <c r="X66" s="41">
        <f>IFERROR(X37/X10,"")</f>
        <v/>
      </c>
      <c r="Y66" s="41">
        <f>IFERROR(Y37/Y10,"")</f>
        <v/>
      </c>
      <c r="Z66" s="41">
        <f>IFERROR(Z37/Z10,"")</f>
        <v/>
      </c>
      <c r="AA66" s="41">
        <f>IFERROR(AA37/AA10,"")</f>
        <v/>
      </c>
      <c r="AB66" s="41">
        <f>IFERROR(AB37/AB10,"")</f>
        <v/>
      </c>
      <c r="AC66" s="41">
        <f>IFERROR(AC37/AC10,"")</f>
        <v/>
      </c>
      <c r="AD66" s="41">
        <f>IFERROR(AD37/AD10,"")</f>
        <v/>
      </c>
      <c r="AE66" s="41">
        <f>IFERROR(AE37/AE10,"")</f>
        <v/>
      </c>
    </row>
    <row r="67"/>
    <row r="68">
      <c r="D68" s="8" t="inlineStr">
        <is>
          <t>Transaction Profit ($M, non-GAAP)</t>
        </is>
      </c>
      <c r="G68" s="34" t="n">
        <v>298.71</v>
      </c>
      <c r="H68" s="34" t="n">
        <v>313.196</v>
      </c>
      <c r="I68" s="34" t="n">
        <v>325.678</v>
      </c>
      <c r="J68" s="34" t="n">
        <v>349.155</v>
      </c>
      <c r="K68" s="34" t="n">
        <v>362.782</v>
      </c>
      <c r="L68" s="34" t="n">
        <v>377.165</v>
      </c>
      <c r="M68" s="34" t="n">
        <v>427.372</v>
      </c>
      <c r="N68" s="34" t="n">
        <v>491.408</v>
      </c>
      <c r="O68" s="43" t="n">
        <v>485</v>
      </c>
      <c r="P68" s="43" t="n">
        <v>510</v>
      </c>
      <c r="Q68" s="43" t="n">
        <v>555</v>
      </c>
      <c r="R68" s="43" t="n">
        <v>590</v>
      </c>
      <c r="S68" s="43" t="n">
        <v>595</v>
      </c>
      <c r="T68" s="43" t="n">
        <v>620</v>
      </c>
      <c r="U68" s="43" t="n">
        <v>670</v>
      </c>
      <c r="V68" s="43" t="n">
        <v>715</v>
      </c>
      <c r="X68" s="44" t="n"/>
      <c r="Y68" s="34" t="n">
        <v>1246.071</v>
      </c>
      <c r="Z68" s="34" t="n">
        <v>1516.4</v>
      </c>
      <c r="AA68" s="43" t="n">
        <v>2040</v>
      </c>
      <c r="AB68" s="43" t="n">
        <v>2475</v>
      </c>
      <c r="AC68" s="43" t="n">
        <v>2900</v>
      </c>
      <c r="AD68" s="43" t="n">
        <v>3490</v>
      </c>
      <c r="AE68" s="43" t="n">
        <v>4160</v>
      </c>
    </row>
    <row r="69">
      <c r="D69" s="12" t="inlineStr">
        <is>
          <t>Transaction Margin (Tx Profit / Rev)</t>
        </is>
      </c>
      <c r="G69" s="41">
        <f>IFERROR(G68/G10,"")</f>
        <v/>
      </c>
      <c r="H69" s="41">
        <f>IFERROR(H68/H10,"")</f>
        <v/>
      </c>
      <c r="I69" s="41">
        <f>IFERROR(I68/I10,"")</f>
        <v/>
      </c>
      <c r="J69" s="41">
        <f>IFERROR(J68/J10,"")</f>
        <v/>
      </c>
      <c r="K69" s="41">
        <f>IFERROR(K68/K10,"")</f>
        <v/>
      </c>
      <c r="L69" s="41">
        <f>IFERROR(L68/L10,"")</f>
        <v/>
      </c>
      <c r="M69" s="41">
        <f>IFERROR(M68/M10,"")</f>
        <v/>
      </c>
      <c r="N69" s="41">
        <f>IFERROR(N68/N10,"")</f>
        <v/>
      </c>
      <c r="O69" s="41">
        <f>IFERROR(O68/O10,"")</f>
        <v/>
      </c>
      <c r="P69" s="41">
        <f>IFERROR(P68/P10,"")</f>
        <v/>
      </c>
      <c r="Q69" s="41">
        <f>IFERROR(Q68/Q10,"")</f>
        <v/>
      </c>
      <c r="R69" s="41">
        <f>IFERROR(R68/R10,"")</f>
        <v/>
      </c>
      <c r="S69" s="41">
        <f>IFERROR(S68/S10,"")</f>
        <v/>
      </c>
      <c r="T69" s="41">
        <f>IFERROR(T68/T10,"")</f>
        <v/>
      </c>
      <c r="U69" s="41">
        <f>IFERROR(U68/U10,"")</f>
        <v/>
      </c>
      <c r="V69" s="41">
        <f>IFERROR(V68/V10,"")</f>
        <v/>
      </c>
      <c r="X69" s="41">
        <f>IFERROR(X68/X10,"")</f>
        <v/>
      </c>
      <c r="Y69" s="41">
        <f>IFERROR(Y68/Y10,"")</f>
        <v/>
      </c>
      <c r="Z69" s="41">
        <f>IFERROR(Z68/Z10,"")</f>
        <v/>
      </c>
      <c r="AA69" s="41">
        <f>IFERROR(AA68/AA10,"")</f>
        <v/>
      </c>
      <c r="AB69" s="41">
        <f>IFERROR(AB68/AB10,"")</f>
        <v/>
      </c>
      <c r="AC69" s="41">
        <f>IFERROR(AC68/AC10,"")</f>
        <v/>
      </c>
      <c r="AD69" s="41">
        <f>IFERROR(AD68/AD10,"")</f>
        <v/>
      </c>
      <c r="AE69" s="41">
        <f>IFERROR(AE68/AE10,"")</f>
        <v/>
      </c>
    </row>
    <row r="70">
      <c r="D70" s="8" t="inlineStr">
        <is>
          <t>Adj EBITDA ($M, non-GAAP)</t>
        </is>
      </c>
      <c r="G70" s="34" t="n">
        <v>2</v>
      </c>
      <c r="H70" s="34" t="n">
        <v>1</v>
      </c>
      <c r="I70" s="34" t="n">
        <v>-11.907</v>
      </c>
      <c r="J70" s="34" t="n">
        <v>11</v>
      </c>
      <c r="K70" s="34" t="n">
        <v>46</v>
      </c>
      <c r="L70" s="34" t="n">
        <v>13</v>
      </c>
      <c r="M70" s="34" t="n">
        <v>56.746</v>
      </c>
      <c r="N70" s="34" t="n">
        <v>119</v>
      </c>
      <c r="O70" s="43" t="n">
        <v>74.5</v>
      </c>
      <c r="P70" s="43" t="n">
        <v>100</v>
      </c>
      <c r="Q70" s="43" t="n">
        <v>130</v>
      </c>
      <c r="R70" s="43" t="n">
        <v>130</v>
      </c>
      <c r="S70" s="43" t="n">
        <v>125</v>
      </c>
      <c r="T70" s="43" t="n">
        <v>145</v>
      </c>
      <c r="U70" s="43" t="n">
        <v>155</v>
      </c>
      <c r="V70" s="43" t="n">
        <v>165</v>
      </c>
      <c r="X70" s="44" t="n"/>
      <c r="Y70" s="34" t="n">
        <v>-6.984</v>
      </c>
      <c r="Z70" s="34" t="n">
        <v>126.597</v>
      </c>
      <c r="AA70" s="43" t="n">
        <v>423.5</v>
      </c>
      <c r="AB70" s="43" t="n">
        <v>555</v>
      </c>
      <c r="AC70" s="43" t="n">
        <v>690</v>
      </c>
      <c r="AD70" s="43" t="n">
        <v>860</v>
      </c>
      <c r="AE70" s="43" t="n">
        <v>1040</v>
      </c>
    </row>
    <row r="71">
      <c r="D71" s="12" t="inlineStr">
        <is>
          <t>Adj EBITDA Margin</t>
        </is>
      </c>
      <c r="G71" s="41">
        <f>IFERROR(G70/G10,"")</f>
        <v/>
      </c>
      <c r="H71" s="41">
        <f>IFERROR(H70/H10,"")</f>
        <v/>
      </c>
      <c r="I71" s="41">
        <f>IFERROR(I70/I10,"")</f>
        <v/>
      </c>
      <c r="J71" s="41">
        <f>IFERROR(J70/J10,"")</f>
        <v/>
      </c>
      <c r="K71" s="41">
        <f>IFERROR(K70/K10,"")</f>
        <v/>
      </c>
      <c r="L71" s="41">
        <f>IFERROR(L70/L10,"")</f>
        <v/>
      </c>
      <c r="M71" s="41">
        <f>IFERROR(M70/M10,"")</f>
        <v/>
      </c>
      <c r="N71" s="41">
        <f>IFERROR(N70/N10,"")</f>
        <v/>
      </c>
      <c r="O71" s="41">
        <f>IFERROR(O70/O10,"")</f>
        <v/>
      </c>
      <c r="P71" s="41">
        <f>IFERROR(P70/P10,"")</f>
        <v/>
      </c>
      <c r="Q71" s="41">
        <f>IFERROR(Q70/Q10,"")</f>
        <v/>
      </c>
      <c r="R71" s="41">
        <f>IFERROR(R70/R10,"")</f>
        <v/>
      </c>
      <c r="S71" s="41">
        <f>IFERROR(S70/S10,"")</f>
        <v/>
      </c>
      <c r="T71" s="41">
        <f>IFERROR(T70/T10,"")</f>
        <v/>
      </c>
      <c r="U71" s="41">
        <f>IFERROR(U70/U10,"")</f>
        <v/>
      </c>
      <c r="V71" s="41">
        <f>IFERROR(V70/V10,"")</f>
        <v/>
      </c>
      <c r="X71" s="41">
        <f>IFERROR(X70/X10,"")</f>
        <v/>
      </c>
      <c r="Y71" s="41">
        <f>IFERROR(Y70/Y10,"")</f>
        <v/>
      </c>
      <c r="Z71" s="41">
        <f>IFERROR(Z70/Z10,"")</f>
        <v/>
      </c>
      <c r="AA71" s="41">
        <f>IFERROR(AA70/AA10,"")</f>
        <v/>
      </c>
      <c r="AB71" s="41">
        <f>IFERROR(AB70/AB10,"")</f>
        <v/>
      </c>
      <c r="AC71" s="41">
        <f>IFERROR(AC70/AC10,"")</f>
        <v/>
      </c>
      <c r="AD71" s="41">
        <f>IFERROR(AD70/AD10,"")</f>
        <v/>
      </c>
      <c r="AE71" s="41">
        <f>IFERROR(AE70/AE10,"")</f>
        <v/>
      </c>
    </row>
    <row r="72"/>
    <row r="73"/>
    <row r="74"/>
    <row r="75">
      <c r="B75" s="7" t="inlineStr">
        <is>
          <t>KPI Drivers</t>
        </is>
      </c>
      <c r="C75" s="7" t="n"/>
      <c r="D75" s="7" t="n"/>
      <c r="E75" s="7" t="n"/>
      <c r="F75" s="7" t="n"/>
      <c r="G75" s="7" t="n"/>
      <c r="H75" s="7" t="n"/>
      <c r="I75" s="7" t="n"/>
      <c r="J75" s="7" t="n"/>
      <c r="K75" s="7" t="n"/>
      <c r="L75" s="7" t="n"/>
      <c r="M75" s="7" t="n"/>
      <c r="N75" s="7" t="n"/>
      <c r="O75" s="7" t="n"/>
      <c r="P75" s="7" t="n"/>
      <c r="Q75" s="7" t="n"/>
      <c r="R75" s="7" t="n"/>
      <c r="S75" s="7" t="n"/>
      <c r="T75" s="7" t="n"/>
      <c r="U75" s="7" t="n"/>
      <c r="V75" s="7" t="n"/>
      <c r="X75" s="7" t="n"/>
      <c r="Y75" s="7" t="n"/>
      <c r="Z75" s="7" t="n"/>
      <c r="AA75" s="7" t="n"/>
      <c r="AB75" s="7" t="n"/>
      <c r="AC75" s="7" t="n"/>
      <c r="AD75" s="7" t="n"/>
      <c r="AE75" s="7" t="n"/>
    </row>
    <row r="76"/>
    <row r="77">
      <c r="C77" s="12" t="inlineStr">
        <is>
          <t>Active Members (millions, period-end)</t>
        </is>
      </c>
      <c r="G77" s="52" t="n">
        <v>7.5</v>
      </c>
      <c r="H77" s="52" t="n">
        <v>7.8</v>
      </c>
      <c r="I77" s="52" t="n">
        <v>8</v>
      </c>
      <c r="J77" s="52" t="n">
        <v>8.6</v>
      </c>
      <c r="K77" s="52" t="n">
        <v>8.699999999999999</v>
      </c>
      <c r="L77" s="52" t="n">
        <v>9</v>
      </c>
      <c r="M77" s="52" t="n">
        <v>9.5</v>
      </c>
      <c r="N77" s="52" t="n">
        <v>10.2</v>
      </c>
      <c r="O77" s="52" t="n">
        <v>10.85</v>
      </c>
      <c r="P77" s="52" t="n">
        <v>11.45</v>
      </c>
      <c r="Q77" s="52" t="n">
        <v>12.1</v>
      </c>
      <c r="R77" s="52" t="n">
        <v>12.7</v>
      </c>
      <c r="S77" s="52" t="n">
        <v>13.25</v>
      </c>
      <c r="T77" s="52" t="n">
        <v>13.8</v>
      </c>
      <c r="U77" s="52" t="n">
        <v>14.35</v>
      </c>
      <c r="V77" s="52" t="n">
        <v>14.85</v>
      </c>
      <c r="Y77" s="52" t="n">
        <v>8</v>
      </c>
      <c r="Z77" s="52" t="n">
        <v>9.5</v>
      </c>
      <c r="AA77" s="52" t="n">
        <v>12.1</v>
      </c>
      <c r="AB77" s="52" t="n">
        <v>14.35</v>
      </c>
      <c r="AC77" s="52" t="n">
        <v>16.65</v>
      </c>
      <c r="AD77" s="52" t="n">
        <v>19.65</v>
      </c>
      <c r="AE77" s="52" t="n">
        <v>22.95</v>
      </c>
    </row>
    <row r="78">
      <c r="D78" s="8" t="inlineStr">
        <is>
          <t>YoY growth</t>
        </is>
      </c>
      <c r="O78" s="41">
        <f>IFERROR(O77/K77-1,"")</f>
        <v/>
      </c>
      <c r="P78" s="41">
        <f>IFERROR(P77/L77-1,"")</f>
        <v/>
      </c>
      <c r="Q78" s="41">
        <f>IFERROR(Q77/M77-1,"")</f>
        <v/>
      </c>
      <c r="R78" s="41">
        <f>IFERROR(R77/N77-1,"")</f>
        <v/>
      </c>
      <c r="S78" s="41">
        <f>IFERROR(S77/O77-1,"")</f>
        <v/>
      </c>
      <c r="T78" s="41">
        <f>IFERROR(T77/P77-1,"")</f>
        <v/>
      </c>
      <c r="U78" s="41">
        <f>IFERROR(U77/Q77-1,"")</f>
        <v/>
      </c>
      <c r="V78" s="41">
        <f>IFERROR(V77/R77-1,"")</f>
        <v/>
      </c>
      <c r="AA78" s="41">
        <f>IFERROR(AA77/Z77-1,"")</f>
        <v/>
      </c>
      <c r="AB78" s="41">
        <f>IFERROR(AB77/AA77-1,"")</f>
        <v/>
      </c>
      <c r="AC78" s="41">
        <f>IFERROR(AC77/AB77-1,"")</f>
        <v/>
      </c>
      <c r="AD78" s="41">
        <f>IFERROR(AD77/AC77-1,"")</f>
        <v/>
      </c>
      <c r="AE78" s="41">
        <f>IFERROR(AE77/AD77-1,"")</f>
        <v/>
      </c>
    </row>
    <row r="79"/>
    <row r="80">
      <c r="C80" s="12" t="inlineStr">
        <is>
          <t>PV per Active Member ($/Q)</t>
        </is>
      </c>
      <c r="G80" s="53" t="n">
        <v>3600</v>
      </c>
      <c r="H80" s="53" t="n">
        <v>3526</v>
      </c>
      <c r="I80" s="53" t="n">
        <v>3875</v>
      </c>
      <c r="J80" s="53" t="n">
        <v>4016</v>
      </c>
      <c r="K80" s="53" t="n">
        <v>3793</v>
      </c>
      <c r="L80" s="53" t="n">
        <v>3378</v>
      </c>
      <c r="M80" s="53" t="n">
        <v>3621</v>
      </c>
      <c r="N80" s="53" t="n">
        <v>3824</v>
      </c>
      <c r="O80" s="54" t="n">
        <v>3550</v>
      </c>
      <c r="P80" s="54" t="n">
        <v>3450</v>
      </c>
      <c r="Q80" s="54" t="n">
        <v>3500</v>
      </c>
      <c r="R80" s="54" t="n">
        <v>3550</v>
      </c>
      <c r="S80" s="54" t="n">
        <v>3450</v>
      </c>
      <c r="T80" s="54" t="n">
        <v>3450</v>
      </c>
      <c r="U80" s="54" t="n">
        <v>3500</v>
      </c>
      <c r="V80" s="54" t="n">
        <v>3700</v>
      </c>
      <c r="Y80" s="53" t="n">
        <v>3598</v>
      </c>
      <c r="Z80" s="53" t="n">
        <v>3483</v>
      </c>
      <c r="AA80" s="54" t="n">
        <v>3300</v>
      </c>
      <c r="AB80" s="54" t="n">
        <v>3268</v>
      </c>
      <c r="AC80" s="54" t="n">
        <v>3280</v>
      </c>
      <c r="AD80" s="54" t="n">
        <v>3275</v>
      </c>
      <c r="AE80" s="54" t="n">
        <v>3271</v>
      </c>
    </row>
    <row r="81"/>
    <row r="82">
      <c r="C82" s="12" t="inlineStr">
        <is>
          <t>Purchase Volume ($B)  [hist=as-filed; proj=Members × PV/M / 1000]</t>
        </is>
      </c>
      <c r="G82" s="55" t="n">
        <v>27</v>
      </c>
      <c r="H82" s="55" t="n">
        <v>27.5</v>
      </c>
      <c r="I82" s="55" t="n">
        <v>31</v>
      </c>
      <c r="J82" s="55" t="n">
        <v>34.54</v>
      </c>
      <c r="K82" s="55" t="n">
        <v>33</v>
      </c>
      <c r="L82" s="55" t="n">
        <v>30.4</v>
      </c>
      <c r="M82" s="55" t="n">
        <v>34.4</v>
      </c>
      <c r="N82" s="55" t="n">
        <v>39</v>
      </c>
      <c r="O82" s="56">
        <f>O77*O80/1000</f>
        <v/>
      </c>
      <c r="P82" s="56">
        <f>P77*P80/1000</f>
        <v/>
      </c>
      <c r="Q82" s="56">
        <f>Q77*Q80/1000</f>
        <v/>
      </c>
      <c r="R82" s="56">
        <f>R77*R80/1000</f>
        <v/>
      </c>
      <c r="S82" s="56">
        <f>S77*S80/1000</f>
        <v/>
      </c>
      <c r="T82" s="56">
        <f>T77*T80/1000</f>
        <v/>
      </c>
      <c r="U82" s="56">
        <f>U77*U80/1000</f>
        <v/>
      </c>
      <c r="V82" s="56">
        <f>V77*V80/1000</f>
        <v/>
      </c>
      <c r="Y82" s="55" t="n">
        <v>115.152</v>
      </c>
      <c r="Z82" s="55" t="n">
        <v>132.34</v>
      </c>
      <c r="AA82" s="56">
        <f>O82+P82+Q82+R82</f>
        <v/>
      </c>
      <c r="AB82" s="56">
        <f>S82+T82+U82+V82</f>
        <v/>
      </c>
      <c r="AC82" s="56">
        <f>AC77*AC80*4/1000</f>
        <v/>
      </c>
      <c r="AD82" s="56">
        <f>AD77*AD80*4/1000</f>
        <v/>
      </c>
      <c r="AE82" s="56">
        <f>AE77*AE80*4/1000</f>
        <v/>
      </c>
    </row>
    <row r="83"/>
    <row r="84">
      <c r="C84" s="12" t="inlineStr">
        <is>
          <t>Take Rate (Total Rev / Purchase Volume)</t>
        </is>
      </c>
      <c r="G84" s="57" t="n">
        <v>0.0142</v>
      </c>
      <c r="H84" s="57" t="n">
        <v>0.0153</v>
      </c>
      <c r="I84" s="57" t="n">
        <v>0.0153</v>
      </c>
      <c r="J84" s="57" t="n">
        <v>0.015</v>
      </c>
      <c r="K84" s="57" t="n">
        <v>0.016</v>
      </c>
      <c r="L84" s="57" t="n">
        <v>0.0179</v>
      </c>
      <c r="M84" s="57" t="n">
        <v>0.0173</v>
      </c>
      <c r="N84" s="57" t="n">
        <v>0.0166</v>
      </c>
      <c r="O84" s="58" t="n">
        <v>0.0166</v>
      </c>
      <c r="P84" s="58" t="n">
        <v>0.0168</v>
      </c>
      <c r="Q84" s="58" t="n">
        <v>0.0169</v>
      </c>
      <c r="R84" s="58" t="n">
        <v>0.01685</v>
      </c>
      <c r="S84" s="58" t="n">
        <v>0.0167</v>
      </c>
      <c r="T84" s="58" t="n">
        <v>0.0166</v>
      </c>
      <c r="U84" s="58" t="n">
        <v>0.0169</v>
      </c>
      <c r="V84" s="58" t="n">
        <v>0.0164</v>
      </c>
      <c r="Y84" s="57" t="n">
        <v>0.0145</v>
      </c>
      <c r="Z84" s="57" t="n">
        <v>0.0165</v>
      </c>
      <c r="AA84" s="58" t="n">
        <v>0.0167</v>
      </c>
      <c r="AB84" s="58" t="n">
        <v>0.01685</v>
      </c>
      <c r="AC84" s="58" t="n">
        <v>0.017</v>
      </c>
      <c r="AD84" s="58" t="n">
        <v>0.01715</v>
      </c>
      <c r="AE84" s="58" t="n">
        <v>0.0173</v>
      </c>
    </row>
    <row r="85"/>
    <row r="86">
      <c r="C86" s="12" t="inlineStr">
        <is>
          <t>Revenue ($M)  [memo: derived = PV × Take Rate × 1000; IS Row 10 references this]</t>
        </is>
      </c>
      <c r="G86" s="35">
        <f>G82*G84*1000</f>
        <v/>
      </c>
      <c r="H86" s="35">
        <f>H82*H84*1000</f>
        <v/>
      </c>
      <c r="I86" s="35">
        <f>I82*I84*1000</f>
        <v/>
      </c>
      <c r="J86" s="35">
        <f>J82*J84*1000</f>
        <v/>
      </c>
      <c r="K86" s="35">
        <f>K82*K84*1000</f>
        <v/>
      </c>
      <c r="L86" s="35">
        <f>L82*L84*1000</f>
        <v/>
      </c>
      <c r="M86" s="35">
        <f>M82*M84*1000</f>
        <v/>
      </c>
      <c r="N86" s="35">
        <f>N82*N84*1000</f>
        <v/>
      </c>
      <c r="O86" s="35">
        <f>O82*O84*1000</f>
        <v/>
      </c>
      <c r="P86" s="35">
        <f>P82*P84*1000</f>
        <v/>
      </c>
      <c r="Q86" s="35">
        <f>Q82*Q84*1000</f>
        <v/>
      </c>
      <c r="R86" s="35">
        <f>R82*R84*1000</f>
        <v/>
      </c>
      <c r="S86" s="35">
        <f>S82*S84*1000</f>
        <v/>
      </c>
      <c r="T86" s="35">
        <f>T82*T84*1000</f>
        <v/>
      </c>
      <c r="U86" s="35">
        <f>U82*U84*1000</f>
        <v/>
      </c>
      <c r="V86" s="35">
        <f>V82*V84*1000</f>
        <v/>
      </c>
      <c r="X86" s="35">
        <f>X82*X84*1000</f>
        <v/>
      </c>
      <c r="Y86" s="35">
        <f>Y82*Y84*1000</f>
        <v/>
      </c>
      <c r="Z86" s="35">
        <f>Z82*Z84*1000</f>
        <v/>
      </c>
      <c r="AA86" s="35">
        <f>O86+P86+Q86+R86</f>
        <v/>
      </c>
      <c r="AB86" s="35">
        <f>S86+T86+U86+V86</f>
        <v/>
      </c>
      <c r="AC86" s="35">
        <f>AC82*AC84*1000</f>
        <v/>
      </c>
      <c r="AD86" s="35">
        <f>AD82*AD84*1000</f>
        <v/>
      </c>
      <c r="AE86" s="35">
        <f>AE82*AE84*1000</f>
        <v/>
      </c>
    </row>
    <row r="87"/>
    <row r="88">
      <c r="C88" s="12" t="inlineStr">
        <is>
          <t>ARPAM (T4Q $)  [derived: Revenue × 4 / avg(prior_M, current_M)]</t>
        </is>
      </c>
      <c r="G88" s="53">
        <f>G86*4/G77</f>
        <v/>
      </c>
      <c r="H88" s="53">
        <f>H86*4/AVERAGE(G77,H77)</f>
        <v/>
      </c>
      <c r="I88" s="53">
        <f>I86*4/AVERAGE(H77,I77)</f>
        <v/>
      </c>
      <c r="J88" s="53">
        <f>J86*4/AVERAGE(I77,J77)</f>
        <v/>
      </c>
      <c r="K88" s="53">
        <f>K86*4/AVERAGE(J77,K77)</f>
        <v/>
      </c>
      <c r="L88" s="53">
        <f>L86*4/AVERAGE(K77,L77)</f>
        <v/>
      </c>
      <c r="M88" s="53">
        <f>M86*4/AVERAGE(L77,M77)</f>
        <v/>
      </c>
      <c r="N88" s="53">
        <f>N86*4/AVERAGE(M77,N77)</f>
        <v/>
      </c>
      <c r="O88" s="53">
        <f>O86*4/AVERAGE(N77,O77)</f>
        <v/>
      </c>
      <c r="P88" s="53">
        <f>P86*4/AVERAGE(O77,P77)</f>
        <v/>
      </c>
      <c r="Q88" s="53">
        <f>Q86*4/AVERAGE(P77,Q77)</f>
        <v/>
      </c>
      <c r="R88" s="53">
        <f>R86*4/AVERAGE(Q77,R77)</f>
        <v/>
      </c>
      <c r="S88" s="53">
        <f>S86*4/AVERAGE(R77,S77)</f>
        <v/>
      </c>
      <c r="T88" s="53">
        <f>T86*4/AVERAGE(S77,T77)</f>
        <v/>
      </c>
      <c r="U88" s="53">
        <f>U86*4/AVERAGE(T77,U77)</f>
        <v/>
      </c>
      <c r="V88" s="53">
        <f>V86*4/AVERAGE(U77,V77)</f>
        <v/>
      </c>
      <c r="X88" s="53">
        <f>IFERROR(X86/X77,"")</f>
        <v/>
      </c>
      <c r="Y88" s="53">
        <f>IFERROR(Y86/Y77,"")</f>
        <v/>
      </c>
      <c r="Z88" s="53">
        <f>Z86/AVERAGE(Y77,Z77)</f>
        <v/>
      </c>
      <c r="AA88" s="53">
        <f>AA86/AVERAGE(Z77,AA77)</f>
        <v/>
      </c>
      <c r="AB88" s="53">
        <f>AB86/AVERAGE(AA77,AB77)</f>
        <v/>
      </c>
      <c r="AC88" s="53">
        <f>AC86/AVERAGE(AB77,AC77)</f>
        <v/>
      </c>
      <c r="AD88" s="53">
        <f>AD86/AVERAGE(AC77,AD77)</f>
        <v/>
      </c>
      <c r="AE88" s="53">
        <f>AE86/AVERAGE(AD77,AE77)</f>
        <v/>
      </c>
    </row>
    <row r="89">
      <c r="D89" s="8" t="inlineStr">
        <is>
          <t>YoY growth</t>
        </is>
      </c>
      <c r="O89" s="41">
        <f>IFERROR(O88/K88-1,"")</f>
        <v/>
      </c>
      <c r="P89" s="41">
        <f>IFERROR(P88/L88-1,"")</f>
        <v/>
      </c>
      <c r="Q89" s="41">
        <f>IFERROR(Q88/M88-1,"")</f>
        <v/>
      </c>
      <c r="R89" s="41">
        <f>IFERROR(R88/N88-1,"")</f>
        <v/>
      </c>
      <c r="S89" s="41">
        <f>IFERROR(S88/O88-1,"")</f>
        <v/>
      </c>
      <c r="T89" s="41">
        <f>IFERROR(T88/P88-1,"")</f>
        <v/>
      </c>
      <c r="U89" s="41">
        <f>IFERROR(U88/Q88-1,"")</f>
        <v/>
      </c>
      <c r="V89" s="41">
        <f>IFERROR(V88/R88-1,"")</f>
        <v/>
      </c>
      <c r="AA89" s="41">
        <f>IFERROR(AA88/Z88-1,"")</f>
        <v/>
      </c>
      <c r="AB89" s="41">
        <f>IFERROR(AB88/AA88-1,"")</f>
        <v/>
      </c>
      <c r="AC89" s="41">
        <f>IFERROR(AC88/AB88-1,"")</f>
        <v/>
      </c>
      <c r="AD89" s="41">
        <f>IFERROR(AD88/AC88-1,"")</f>
        <v/>
      </c>
      <c r="AE89" s="41">
        <f>IFERROR(AE88/AD88-1,"")</f>
        <v/>
      </c>
    </row>
    <row r="90"/>
    <row r="91">
      <c r="C91" s="12" t="inlineStr">
        <is>
          <t>MyPay Annualized Run-Rate ($M)  [INPUT — informational; future: drive Platform rev breakout]</t>
        </is>
      </c>
      <c r="G91" s="59" t="n">
        <v>0</v>
      </c>
      <c r="H91" s="59" t="n">
        <v>50</v>
      </c>
      <c r="I91" s="59" t="n">
        <v>150</v>
      </c>
      <c r="J91" s="59" t="n">
        <v>200</v>
      </c>
      <c r="K91" s="59" t="n">
        <v>275</v>
      </c>
      <c r="L91" s="59" t="n">
        <v>335</v>
      </c>
      <c r="M91" s="59" t="n">
        <v>400</v>
      </c>
      <c r="N91" s="59" t="n">
        <v>425</v>
      </c>
      <c r="O91" s="59" t="n">
        <v>475</v>
      </c>
      <c r="P91" s="59" t="n">
        <v>575</v>
      </c>
      <c r="Q91" s="59" t="n">
        <v>650</v>
      </c>
      <c r="R91" s="59" t="n">
        <v>725</v>
      </c>
      <c r="S91" s="59" t="n">
        <v>825</v>
      </c>
      <c r="T91" s="59" t="n">
        <v>925</v>
      </c>
      <c r="U91" s="59" t="n">
        <v>1050</v>
      </c>
      <c r="V91" s="59" t="n">
        <v>1175</v>
      </c>
      <c r="Y91" s="59" t="n">
        <v>0</v>
      </c>
      <c r="Z91" s="59" t="n">
        <v>400</v>
      </c>
      <c r="AA91" s="59" t="n">
        <v>725</v>
      </c>
      <c r="AB91" s="59" t="n">
        <v>1175</v>
      </c>
      <c r="AC91" s="59" t="n">
        <v>1700</v>
      </c>
      <c r="AD91" s="59" t="n">
        <v>2200</v>
      </c>
      <c r="AE91" s="59" t="n">
        <v>2700</v>
      </c>
    </row>
    <row r="92"/>
    <row r="93"/>
    <row r="94"/>
    <row r="95">
      <c r="B95" s="20" t="inlineStr">
        <is>
          <t>Balance Sheet</t>
        </is>
      </c>
      <c r="C95" s="20" t="n"/>
      <c r="D95" s="20" t="n"/>
      <c r="E95" s="20" t="n"/>
      <c r="F95" s="20" t="n"/>
      <c r="G95" s="20" t="n"/>
      <c r="H95" s="20" t="n"/>
      <c r="I95" s="20" t="n"/>
      <c r="J95" s="20" t="n"/>
      <c r="K95" s="20" t="n"/>
      <c r="L95" s="20" t="n"/>
      <c r="M95" s="20" t="n"/>
      <c r="N95" s="20" t="n"/>
      <c r="O95" s="20" t="n"/>
      <c r="P95" s="20" t="n"/>
      <c r="Q95" s="20" t="n"/>
      <c r="R95" s="20" t="n"/>
      <c r="S95" s="20" t="n"/>
      <c r="T95" s="20" t="n"/>
      <c r="U95" s="20" t="n"/>
      <c r="V95" s="20" t="n"/>
      <c r="X95" s="20" t="n"/>
      <c r="Y95" s="20" t="n"/>
      <c r="Z95" s="20" t="n"/>
      <c r="AA95" s="20" t="n"/>
      <c r="AB95" s="20" t="n"/>
      <c r="AC95" s="20" t="n"/>
      <c r="AD95" s="20" t="n"/>
      <c r="AE95" s="20" t="n"/>
    </row>
    <row r="96">
      <c r="C96" s="8" t="inlineStr">
        <is>
          <t>Source: 10-K FY25 (Dec 31 2025/2024 BS) + S-1 (Q1 25 BS) + 8-Ks (Q2/Q3 25 BS). Q1-Q4 24 BS NOT FILED (CHYM was private); columns G..J blank — expected.</t>
        </is>
      </c>
    </row>
    <row r="97">
      <c r="A97" s="9" t="inlineStr">
        <is>
          <t>x</t>
        </is>
      </c>
      <c r="D97" s="12" t="inlineStr">
        <is>
          <t>Cash and Cash Equivalents</t>
        </is>
      </c>
      <c r="G97" s="44" t="n"/>
      <c r="H97" s="44" t="n"/>
      <c r="I97" s="44" t="n"/>
      <c r="J97" s="34" t="n">
        <v>318.16</v>
      </c>
      <c r="K97" s="34" t="n">
        <v>868.284</v>
      </c>
      <c r="L97" s="34" t="n">
        <v>445.026</v>
      </c>
      <c r="M97" s="34" t="n">
        <v>466.252</v>
      </c>
      <c r="N97" s="34" t="n">
        <v>607.677</v>
      </c>
      <c r="O97" s="35">
        <f>N97+O231</f>
        <v/>
      </c>
      <c r="P97" s="35">
        <f>O97+P231</f>
        <v/>
      </c>
      <c r="Q97" s="35">
        <f>P97+Q231</f>
        <v/>
      </c>
      <c r="R97" s="35">
        <f>Q97+R231</f>
        <v/>
      </c>
      <c r="S97" s="35">
        <f>R97+S231</f>
        <v/>
      </c>
      <c r="T97" s="35">
        <f>S97+T231</f>
        <v/>
      </c>
      <c r="U97" s="35">
        <f>T97+U231</f>
        <v/>
      </c>
      <c r="V97" s="35">
        <f>U97+V231</f>
        <v/>
      </c>
      <c r="X97" s="44" t="n"/>
      <c r="Y97" s="34" t="n">
        <v>337.697</v>
      </c>
      <c r="Z97" s="34" t="n">
        <v>466.252</v>
      </c>
      <c r="AA97" s="35">
        <f>R97</f>
        <v/>
      </c>
      <c r="AB97" s="35">
        <f>V97</f>
        <v/>
      </c>
      <c r="AC97" s="35">
        <f>AB97+AC231</f>
        <v/>
      </c>
      <c r="AD97" s="35">
        <f>AC97+AD231</f>
        <v/>
      </c>
      <c r="AE97" s="35">
        <f>AD97+AE231</f>
        <v/>
      </c>
    </row>
    <row r="98">
      <c r="D98" s="12" t="inlineStr">
        <is>
          <t>Restricted Cash</t>
        </is>
      </c>
      <c r="G98" s="44" t="n"/>
      <c r="H98" s="44" t="n"/>
      <c r="I98" s="44" t="n"/>
      <c r="J98" s="38" t="n">
        <v>12.664</v>
      </c>
      <c r="K98" s="38" t="n">
        <v>13.515</v>
      </c>
      <c r="L98" s="38" t="n">
        <v>13.676</v>
      </c>
      <c r="M98" s="38" t="n">
        <v>14.508</v>
      </c>
      <c r="N98" s="38" t="n">
        <v>14.51</v>
      </c>
      <c r="O98" s="39">
        <f>N98</f>
        <v/>
      </c>
      <c r="P98" s="39">
        <f>O98</f>
        <v/>
      </c>
      <c r="Q98" s="39">
        <f>P98</f>
        <v/>
      </c>
      <c r="R98" s="39">
        <f>Q98</f>
        <v/>
      </c>
      <c r="S98" s="39">
        <f>R98</f>
        <v/>
      </c>
      <c r="T98" s="39">
        <f>S98</f>
        <v/>
      </c>
      <c r="U98" s="39">
        <f>T98</f>
        <v/>
      </c>
      <c r="V98" s="39">
        <f>U98</f>
        <v/>
      </c>
      <c r="X98" s="44" t="n"/>
      <c r="Y98" s="38" t="n">
        <v>12.303</v>
      </c>
      <c r="Z98" s="38" t="n">
        <v>14.508</v>
      </c>
      <c r="AA98" s="39">
        <f>R98</f>
        <v/>
      </c>
      <c r="AB98" s="39">
        <f>V98</f>
        <v/>
      </c>
      <c r="AC98" s="39">
        <f>AB98</f>
        <v/>
      </c>
      <c r="AD98" s="39">
        <f>AC98</f>
        <v/>
      </c>
      <c r="AE98" s="39">
        <f>AD98</f>
        <v/>
      </c>
    </row>
    <row r="99">
      <c r="D99" s="12" t="inlineStr">
        <is>
          <t>Marketable Securities</t>
        </is>
      </c>
      <c r="G99" s="44" t="n"/>
      <c r="H99" s="44" t="n"/>
      <c r="I99" s="44" t="n"/>
      <c r="J99" s="38" t="n">
        <v>336.467</v>
      </c>
      <c r="K99" s="38" t="n">
        <v>225.063</v>
      </c>
      <c r="L99" s="38" t="n">
        <v>633.7380000000001</v>
      </c>
      <c r="M99" s="38" t="n">
        <v>587.828</v>
      </c>
      <c r="N99" s="38" t="n">
        <v>403.605</v>
      </c>
      <c r="O99" s="39">
        <f>N99</f>
        <v/>
      </c>
      <c r="P99" s="39">
        <f>O99</f>
        <v/>
      </c>
      <c r="Q99" s="39">
        <f>P99</f>
        <v/>
      </c>
      <c r="R99" s="39">
        <f>Q99</f>
        <v/>
      </c>
      <c r="S99" s="39">
        <f>R99</f>
        <v/>
      </c>
      <c r="T99" s="39">
        <f>S99</f>
        <v/>
      </c>
      <c r="U99" s="39">
        <f>T99</f>
        <v/>
      </c>
      <c r="V99" s="39">
        <f>U99</f>
        <v/>
      </c>
      <c r="X99" s="44" t="n"/>
      <c r="Y99" s="38" t="n">
        <v>368.889</v>
      </c>
      <c r="Z99" s="38" t="n">
        <v>587.828</v>
      </c>
      <c r="AA99" s="39">
        <f>R99</f>
        <v/>
      </c>
      <c r="AB99" s="39">
        <f>V99</f>
        <v/>
      </c>
      <c r="AC99" s="39">
        <f>AB99</f>
        <v/>
      </c>
      <c r="AD99" s="39">
        <f>AC99</f>
        <v/>
      </c>
      <c r="AE99" s="39">
        <f>AD99</f>
        <v/>
      </c>
    </row>
    <row r="100">
      <c r="D100" s="12" t="inlineStr">
        <is>
          <t>Product Collateral</t>
        </is>
      </c>
      <c r="G100" s="44" t="n"/>
      <c r="H100" s="44" t="n"/>
      <c r="I100" s="44" t="n"/>
      <c r="J100" s="38" t="n">
        <v>177.572</v>
      </c>
      <c r="K100" s="38" t="n">
        <v>212.983</v>
      </c>
      <c r="L100" s="38" t="n">
        <v>228.955</v>
      </c>
      <c r="M100" s="38" t="n">
        <v>251.204</v>
      </c>
      <c r="N100" s="38" t="n">
        <v>231.477</v>
      </c>
      <c r="O100" s="39">
        <f>O172*O10</f>
        <v/>
      </c>
      <c r="P100" s="39">
        <f>P172*P10</f>
        <v/>
      </c>
      <c r="Q100" s="39">
        <f>Q172*Q10</f>
        <v/>
      </c>
      <c r="R100" s="39">
        <f>R172*R10</f>
        <v/>
      </c>
      <c r="S100" s="39">
        <f>S172*S10</f>
        <v/>
      </c>
      <c r="T100" s="39">
        <f>T172*T10</f>
        <v/>
      </c>
      <c r="U100" s="39">
        <f>U172*U10</f>
        <v/>
      </c>
      <c r="V100" s="39">
        <f>V172*V10</f>
        <v/>
      </c>
      <c r="X100" s="44" t="n"/>
      <c r="Y100" s="38" t="n">
        <v>181.723</v>
      </c>
      <c r="Z100" s="38" t="n">
        <v>251.204</v>
      </c>
      <c r="AA100" s="39">
        <f>R100</f>
        <v/>
      </c>
      <c r="AB100" s="39">
        <f>V100</f>
        <v/>
      </c>
      <c r="AC100" s="39">
        <f>AC172*AC10</f>
        <v/>
      </c>
      <c r="AD100" s="39">
        <f>AD172*AD10</f>
        <v/>
      </c>
      <c r="AE100" s="39">
        <f>AE172*AE10</f>
        <v/>
      </c>
    </row>
    <row r="101">
      <c r="D101" s="12" t="inlineStr">
        <is>
          <t>Accounts Receivable, net</t>
        </is>
      </c>
      <c r="G101" s="44" t="n"/>
      <c r="H101" s="44" t="n"/>
      <c r="I101" s="44" t="n"/>
      <c r="J101" s="38" t="n">
        <v>241.657</v>
      </c>
      <c r="K101" s="38" t="n">
        <v>229.594</v>
      </c>
      <c r="L101" s="38" t="n">
        <v>237.652</v>
      </c>
      <c r="M101" s="38" t="n">
        <v>257.884</v>
      </c>
      <c r="N101" s="38" t="n">
        <v>294.338</v>
      </c>
      <c r="O101" s="39">
        <f>O169*O10</f>
        <v/>
      </c>
      <c r="P101" s="39">
        <f>P169*P10</f>
        <v/>
      </c>
      <c r="Q101" s="39">
        <f>Q169*Q10</f>
        <v/>
      </c>
      <c r="R101" s="39">
        <f>R169*R10</f>
        <v/>
      </c>
      <c r="S101" s="39">
        <f>S169*S10</f>
        <v/>
      </c>
      <c r="T101" s="39">
        <f>T169*T10</f>
        <v/>
      </c>
      <c r="U101" s="39">
        <f>U169*U10</f>
        <v/>
      </c>
      <c r="V101" s="39">
        <f>V169*V10</f>
        <v/>
      </c>
      <c r="X101" s="44" t="n"/>
      <c r="Y101" s="38" t="n">
        <v>216.161</v>
      </c>
      <c r="Z101" s="38" t="n">
        <v>257.884</v>
      </c>
      <c r="AA101" s="39">
        <f>R101</f>
        <v/>
      </c>
      <c r="AB101" s="39">
        <f>V101</f>
        <v/>
      </c>
      <c r="AC101" s="39">
        <f>AC169*AC10</f>
        <v/>
      </c>
      <c r="AD101" s="39">
        <f>AD169*AD10</f>
        <v/>
      </c>
      <c r="AE101" s="39">
        <f>AE169*AE10</f>
        <v/>
      </c>
    </row>
    <row r="102">
      <c r="D102" s="12" t="inlineStr">
        <is>
          <t>Loans Held for Investment, net</t>
        </is>
      </c>
      <c r="G102" s="44" t="n"/>
      <c r="H102" s="44" t="n"/>
      <c r="I102" s="44" t="n"/>
      <c r="J102" s="38" t="n">
        <v>100.106</v>
      </c>
      <c r="K102" s="38" t="n">
        <v>114.12</v>
      </c>
      <c r="L102" s="38" t="n">
        <v>108.996</v>
      </c>
      <c r="M102" s="38" t="n">
        <v>71.581</v>
      </c>
      <c r="N102" s="38" t="n">
        <v>105.815</v>
      </c>
      <c r="O102" s="39">
        <f>O171*O10</f>
        <v/>
      </c>
      <c r="P102" s="39">
        <f>P171*P10</f>
        <v/>
      </c>
      <c r="Q102" s="39">
        <f>Q171*Q10</f>
        <v/>
      </c>
      <c r="R102" s="39">
        <f>R171*R10</f>
        <v/>
      </c>
      <c r="S102" s="39">
        <f>S171*S10</f>
        <v/>
      </c>
      <c r="T102" s="39">
        <f>T171*T10</f>
        <v/>
      </c>
      <c r="U102" s="39">
        <f>U171*U10</f>
        <v/>
      </c>
      <c r="V102" s="39">
        <f>V171*V10</f>
        <v/>
      </c>
      <c r="X102" s="44" t="n"/>
      <c r="Y102" s="38" t="n">
        <v>99.79900000000001</v>
      </c>
      <c r="Z102" s="38" t="n">
        <v>71.581</v>
      </c>
      <c r="AA102" s="39">
        <f>R102</f>
        <v/>
      </c>
      <c r="AB102" s="39">
        <f>V102</f>
        <v/>
      </c>
      <c r="AC102" s="39">
        <f>AC171*AC10</f>
        <v/>
      </c>
      <c r="AD102" s="39">
        <f>AD171*AD10</f>
        <v/>
      </c>
      <c r="AE102" s="39">
        <f>AE171*AE10</f>
        <v/>
      </c>
    </row>
    <row r="103">
      <c r="D103" s="12" t="inlineStr">
        <is>
          <t>Prepaid Expenses &amp; Other Current Assets</t>
        </is>
      </c>
      <c r="G103" s="44" t="n"/>
      <c r="H103" s="44" t="n"/>
      <c r="I103" s="44" t="n"/>
      <c r="J103" s="38" t="n">
        <v>79.20399999999999</v>
      </c>
      <c r="K103" s="38" t="n">
        <v>72.52</v>
      </c>
      <c r="L103" s="38" t="n">
        <v>90.854</v>
      </c>
      <c r="M103" s="38" t="n">
        <v>106.753</v>
      </c>
      <c r="N103" s="38" t="n">
        <v>86.839</v>
      </c>
      <c r="O103" s="39">
        <f>O170*O10</f>
        <v/>
      </c>
      <c r="P103" s="39">
        <f>P170*P10</f>
        <v/>
      </c>
      <c r="Q103" s="39">
        <f>Q170*Q10</f>
        <v/>
      </c>
      <c r="R103" s="39">
        <f>R170*R10</f>
        <v/>
      </c>
      <c r="S103" s="39">
        <f>S170*S10</f>
        <v/>
      </c>
      <c r="T103" s="39">
        <f>T170*T10</f>
        <v/>
      </c>
      <c r="U103" s="39">
        <f>U170*U10</f>
        <v/>
      </c>
      <c r="V103" s="39">
        <f>V170*V10</f>
        <v/>
      </c>
      <c r="X103" s="44" t="n"/>
      <c r="Y103" s="38" t="n">
        <v>70.464</v>
      </c>
      <c r="Z103" s="38" t="n">
        <v>106.753</v>
      </c>
      <c r="AA103" s="39">
        <f>R103</f>
        <v/>
      </c>
      <c r="AB103" s="39">
        <f>V103</f>
        <v/>
      </c>
      <c r="AC103" s="39">
        <f>AC170*AC10</f>
        <v/>
      </c>
      <c r="AD103" s="39">
        <f>AD170*AD10</f>
        <v/>
      </c>
      <c r="AE103" s="39">
        <f>AE170*AE10</f>
        <v/>
      </c>
    </row>
    <row r="104">
      <c r="A104" s="9" t="inlineStr">
        <is>
          <t>x</t>
        </is>
      </c>
      <c r="C104" s="10" t="inlineStr">
        <is>
          <t>Total Current Assets</t>
        </is>
      </c>
      <c r="G104" s="36">
        <f>SUM(G97:G103)</f>
        <v/>
      </c>
      <c r="H104" s="36">
        <f>SUM(H97:H103)</f>
        <v/>
      </c>
      <c r="I104" s="36">
        <f>SUM(I97:I103)</f>
        <v/>
      </c>
      <c r="J104" s="36">
        <f>SUM(J97:J103)</f>
        <v/>
      </c>
      <c r="K104" s="36">
        <f>SUM(K97:K103)</f>
        <v/>
      </c>
      <c r="L104" s="36">
        <f>SUM(L97:L103)</f>
        <v/>
      </c>
      <c r="M104" s="36">
        <f>SUM(M97:M103)</f>
        <v/>
      </c>
      <c r="N104" s="36">
        <f>SUM(N97:N103)</f>
        <v/>
      </c>
      <c r="O104" s="36">
        <f>SUM(O97:O103)</f>
        <v/>
      </c>
      <c r="P104" s="36">
        <f>SUM(P97:P103)</f>
        <v/>
      </c>
      <c r="Q104" s="36">
        <f>SUM(Q97:Q103)</f>
        <v/>
      </c>
      <c r="R104" s="36">
        <f>SUM(R97:R103)</f>
        <v/>
      </c>
      <c r="S104" s="36">
        <f>SUM(S97:S103)</f>
        <v/>
      </c>
      <c r="T104" s="36">
        <f>SUM(T97:T103)</f>
        <v/>
      </c>
      <c r="U104" s="36">
        <f>SUM(U97:U103)</f>
        <v/>
      </c>
      <c r="V104" s="36">
        <f>SUM(V97:V103)</f>
        <v/>
      </c>
      <c r="X104" s="36">
        <f>SUM(X97:X103)</f>
        <v/>
      </c>
      <c r="Y104" s="36">
        <f>SUM(Y97:Y103)</f>
        <v/>
      </c>
      <c r="Z104" s="36">
        <f>SUM(Z97:Z103)</f>
        <v/>
      </c>
      <c r="AA104" s="36">
        <f>R104</f>
        <v/>
      </c>
      <c r="AB104" s="36">
        <f>V104</f>
        <v/>
      </c>
      <c r="AC104" s="36">
        <f>SUM(AC97:AC103)</f>
        <v/>
      </c>
      <c r="AD104" s="36">
        <f>SUM(AD97:AD103)</f>
        <v/>
      </c>
      <c r="AE104" s="36">
        <f>SUM(AE97:AE103)</f>
        <v/>
      </c>
    </row>
    <row r="105">
      <c r="D105" s="8" t="inlineStr">
        <is>
          <t>Reconciliation: variance vs. as-reported</t>
        </is>
      </c>
      <c r="G105" s="37">
        <f>G104-_reported!G19</f>
        <v/>
      </c>
      <c r="H105" s="37">
        <f>H104-_reported!H19</f>
        <v/>
      </c>
      <c r="I105" s="37">
        <f>I104-_reported!I19</f>
        <v/>
      </c>
      <c r="J105" s="37">
        <f>J104-_reported!J19</f>
        <v/>
      </c>
      <c r="K105" s="37">
        <f>K104-_reported!K19</f>
        <v/>
      </c>
      <c r="L105" s="37">
        <f>L104-_reported!L19</f>
        <v/>
      </c>
      <c r="M105" s="37">
        <f>M104-_reported!M19</f>
        <v/>
      </c>
      <c r="N105" s="37">
        <f>N104-_reported!N19</f>
        <v/>
      </c>
      <c r="X105" s="37">
        <f>X104-_reported!X19</f>
        <v/>
      </c>
      <c r="Y105" s="37">
        <f>Y104-_reported!Y19</f>
        <v/>
      </c>
      <c r="Z105" s="37">
        <f>Z104-_reported!Z19</f>
        <v/>
      </c>
    </row>
    <row r="106"/>
    <row r="107">
      <c r="D107" s="12" t="inlineStr">
        <is>
          <t>Property, Equipment &amp; Software, net</t>
        </is>
      </c>
      <c r="G107" s="44" t="n"/>
      <c r="H107" s="44" t="n"/>
      <c r="I107" s="44" t="n"/>
      <c r="J107" s="34" t="n">
        <v>90.69799999999999</v>
      </c>
      <c r="K107" s="34" t="n">
        <v>89.101</v>
      </c>
      <c r="L107" s="34" t="n">
        <v>86.48</v>
      </c>
      <c r="M107" s="34" t="n">
        <v>94.31999999999999</v>
      </c>
      <c r="N107" s="34" t="n">
        <v>94.636</v>
      </c>
      <c r="O107" s="35">
        <f>N107-O241+O22</f>
        <v/>
      </c>
      <c r="P107" s="35">
        <f>O107-P241+P22</f>
        <v/>
      </c>
      <c r="Q107" s="35">
        <f>P107-Q241+Q22</f>
        <v/>
      </c>
      <c r="R107" s="35">
        <f>Q107-R241+R22</f>
        <v/>
      </c>
      <c r="S107" s="35">
        <f>R107-S241+S22</f>
        <v/>
      </c>
      <c r="T107" s="35">
        <f>S107-T241+T22</f>
        <v/>
      </c>
      <c r="U107" s="35">
        <f>T107-U241+U22</f>
        <v/>
      </c>
      <c r="V107" s="35">
        <f>U107-V241+V22</f>
        <v/>
      </c>
      <c r="X107" s="44" t="n"/>
      <c r="Y107" s="34" t="n">
        <v>92.7</v>
      </c>
      <c r="Z107" s="34" t="n">
        <v>94.31999999999999</v>
      </c>
      <c r="AA107" s="35">
        <f>R107</f>
        <v/>
      </c>
      <c r="AB107" s="35">
        <f>V107</f>
        <v/>
      </c>
      <c r="AC107" s="35">
        <f>AB107-AC241+AC22</f>
        <v/>
      </c>
      <c r="AD107" s="35">
        <f>AC107-AD241+AD22</f>
        <v/>
      </c>
      <c r="AE107" s="35">
        <f>AD107-AE241+AE22</f>
        <v/>
      </c>
    </row>
    <row r="108">
      <c r="D108" s="12" t="inlineStr">
        <is>
          <t>Operating Lease ROU Assets, net</t>
        </is>
      </c>
      <c r="G108" s="44" t="n"/>
      <c r="H108" s="44" t="n"/>
      <c r="I108" s="44" t="n"/>
      <c r="J108" s="38" t="n">
        <v>47.099</v>
      </c>
      <c r="K108" s="38" t="n">
        <v>45.575</v>
      </c>
      <c r="L108" s="38" t="n">
        <v>85.652</v>
      </c>
      <c r="M108" s="38" t="n">
        <v>83.429</v>
      </c>
      <c r="N108" s="38" t="n">
        <v>81.078</v>
      </c>
      <c r="O108" s="39">
        <f>N108</f>
        <v/>
      </c>
      <c r="P108" s="39">
        <f>O108</f>
        <v/>
      </c>
      <c r="Q108" s="39">
        <f>P108</f>
        <v/>
      </c>
      <c r="R108" s="39">
        <f>Q108</f>
        <v/>
      </c>
      <c r="S108" s="39">
        <f>R108</f>
        <v/>
      </c>
      <c r="T108" s="39">
        <f>S108</f>
        <v/>
      </c>
      <c r="U108" s="39">
        <f>T108</f>
        <v/>
      </c>
      <c r="V108" s="39">
        <f>U108</f>
        <v/>
      </c>
      <c r="X108" s="44" t="n"/>
      <c r="Y108" s="38" t="n">
        <v>49.332</v>
      </c>
      <c r="Z108" s="38" t="n">
        <v>83.429</v>
      </c>
      <c r="AA108" s="39">
        <f>R108</f>
        <v/>
      </c>
      <c r="AB108" s="39">
        <f>V108</f>
        <v/>
      </c>
      <c r="AC108" s="39">
        <f>AB108</f>
        <v/>
      </c>
      <c r="AD108" s="39">
        <f>AC108</f>
        <v/>
      </c>
      <c r="AE108" s="39">
        <f>AD108</f>
        <v/>
      </c>
    </row>
    <row r="109">
      <c r="D109" s="12" t="inlineStr">
        <is>
          <t>Other Assets</t>
        </is>
      </c>
      <c r="G109" s="44" t="n"/>
      <c r="H109" s="44" t="n"/>
      <c r="I109" s="44" t="n"/>
      <c r="J109" s="38" t="n">
        <v>32.372</v>
      </c>
      <c r="K109" s="38" t="n">
        <v>31.719</v>
      </c>
      <c r="L109" s="38" t="n">
        <v>31.282</v>
      </c>
      <c r="M109" s="38" t="n">
        <v>30.846</v>
      </c>
      <c r="N109" s="38" t="n">
        <v>30.408</v>
      </c>
      <c r="O109" s="39">
        <f>N109</f>
        <v/>
      </c>
      <c r="P109" s="39">
        <f>O109</f>
        <v/>
      </c>
      <c r="Q109" s="39">
        <f>P109</f>
        <v/>
      </c>
      <c r="R109" s="39">
        <f>Q109</f>
        <v/>
      </c>
      <c r="S109" s="39">
        <f>R109</f>
        <v/>
      </c>
      <c r="T109" s="39">
        <f>S109</f>
        <v/>
      </c>
      <c r="U109" s="39">
        <f>T109</f>
        <v/>
      </c>
      <c r="V109" s="39">
        <f>U109</f>
        <v/>
      </c>
      <c r="X109" s="44" t="n"/>
      <c r="Y109" s="38" t="n">
        <v>31.969</v>
      </c>
      <c r="Z109" s="38" t="n">
        <v>30.846</v>
      </c>
      <c r="AA109" s="39">
        <f>R109</f>
        <v/>
      </c>
      <c r="AB109" s="39">
        <f>V109</f>
        <v/>
      </c>
      <c r="AC109" s="39">
        <f>AB109</f>
        <v/>
      </c>
      <c r="AD109" s="39">
        <f>AC109</f>
        <v/>
      </c>
      <c r="AE109" s="39">
        <f>AD109</f>
        <v/>
      </c>
    </row>
    <row r="110"/>
    <row r="111">
      <c r="A111" s="9" t="inlineStr">
        <is>
          <t>x</t>
        </is>
      </c>
      <c r="B111" s="10" t="inlineStr">
        <is>
          <t>Total Assets</t>
        </is>
      </c>
      <c r="G111" s="36">
        <f>G104+G107+G108+G109</f>
        <v/>
      </c>
      <c r="H111" s="36">
        <f>H104+H107+H108+H109</f>
        <v/>
      </c>
      <c r="I111" s="36">
        <f>I104+I107+I108+I109</f>
        <v/>
      </c>
      <c r="J111" s="36">
        <f>J104+J107+J108+J109</f>
        <v/>
      </c>
      <c r="K111" s="36">
        <f>K104+K107+K108+K109</f>
        <v/>
      </c>
      <c r="L111" s="36">
        <f>L104+L107+L108+L109</f>
        <v/>
      </c>
      <c r="M111" s="36">
        <f>M104+M107+M108+M109</f>
        <v/>
      </c>
      <c r="N111" s="36">
        <f>N104+N107+N108+N109</f>
        <v/>
      </c>
      <c r="O111" s="36">
        <f>O104+O107+O108+O109</f>
        <v/>
      </c>
      <c r="P111" s="36">
        <f>P104+P107+P108+P109</f>
        <v/>
      </c>
      <c r="Q111" s="36">
        <f>Q104+Q107+Q108+Q109</f>
        <v/>
      </c>
      <c r="R111" s="36">
        <f>R104+R107+R108+R109</f>
        <v/>
      </c>
      <c r="S111" s="36">
        <f>S104+S107+S108+S109</f>
        <v/>
      </c>
      <c r="T111" s="36">
        <f>T104+T107+T108+T109</f>
        <v/>
      </c>
      <c r="U111" s="36">
        <f>U104+U107+U108+U109</f>
        <v/>
      </c>
      <c r="V111" s="36">
        <f>V104+V107+V108+V109</f>
        <v/>
      </c>
      <c r="X111" s="36">
        <f>X104+X107+X108+X109</f>
        <v/>
      </c>
      <c r="Y111" s="36">
        <f>Y104+Y107+Y108+Y109</f>
        <v/>
      </c>
      <c r="Z111" s="36">
        <f>Z104+Z107+Z108+Z109</f>
        <v/>
      </c>
      <c r="AA111" s="36">
        <f>R111</f>
        <v/>
      </c>
      <c r="AB111" s="36">
        <f>V111</f>
        <v/>
      </c>
      <c r="AC111" s="36">
        <f>AC104+AC107+AC108+AC109</f>
        <v/>
      </c>
      <c r="AD111" s="36">
        <f>AD104+AD107+AD108+AD109</f>
        <v/>
      </c>
      <c r="AE111" s="36">
        <f>AE104+AE107+AE108+AE109</f>
        <v/>
      </c>
    </row>
    <row r="112">
      <c r="D112" s="8" t="inlineStr">
        <is>
          <t>Reconciliation: variance vs. as-reported</t>
        </is>
      </c>
      <c r="G112" s="37">
        <f>G111-_reported!G20</f>
        <v/>
      </c>
      <c r="H112" s="37">
        <f>H111-_reported!H20</f>
        <v/>
      </c>
      <c r="I112" s="37">
        <f>I111-_reported!I20</f>
        <v/>
      </c>
      <c r="J112" s="37">
        <f>J111-_reported!J20</f>
        <v/>
      </c>
      <c r="K112" s="37">
        <f>K111-_reported!K20</f>
        <v/>
      </c>
      <c r="L112" s="37">
        <f>L111-_reported!L20</f>
        <v/>
      </c>
      <c r="M112" s="37">
        <f>M111-_reported!M20</f>
        <v/>
      </c>
      <c r="N112" s="37">
        <f>N111-_reported!N20</f>
        <v/>
      </c>
      <c r="X112" s="37">
        <f>X111-_reported!X20</f>
        <v/>
      </c>
      <c r="Y112" s="37">
        <f>Y111-_reported!Y20</f>
        <v/>
      </c>
      <c r="Z112" s="37">
        <f>Z111-_reported!Z20</f>
        <v/>
      </c>
    </row>
    <row r="113"/>
    <row r="114"/>
    <row r="115">
      <c r="D115" s="12" t="inlineStr">
        <is>
          <t>Accounts Payable</t>
        </is>
      </c>
      <c r="G115" s="44" t="n"/>
      <c r="H115" s="44" t="n"/>
      <c r="I115" s="44" t="n"/>
      <c r="J115" s="34" t="n">
        <v>37.614</v>
      </c>
      <c r="K115" s="34" t="n">
        <v>51.8</v>
      </c>
      <c r="L115" s="34" t="n">
        <v>40.026</v>
      </c>
      <c r="M115" s="34" t="n">
        <v>38.68</v>
      </c>
      <c r="N115" s="34" t="n">
        <v>37.92</v>
      </c>
      <c r="O115" s="35">
        <f>O174*(-O23)</f>
        <v/>
      </c>
      <c r="P115" s="35">
        <f>P174*(-P23)</f>
        <v/>
      </c>
      <c r="Q115" s="35">
        <f>Q174*(-Q23)</f>
        <v/>
      </c>
      <c r="R115" s="35">
        <f>R174*(-R23)</f>
        <v/>
      </c>
      <c r="S115" s="35">
        <f>S174*(-S23)</f>
        <v/>
      </c>
      <c r="T115" s="35">
        <f>T174*(-T23)</f>
        <v/>
      </c>
      <c r="U115" s="35">
        <f>U174*(-U23)</f>
        <v/>
      </c>
      <c r="V115" s="35">
        <f>V174*(-V23)</f>
        <v/>
      </c>
      <c r="X115" s="44" t="n"/>
      <c r="Y115" s="34" t="n">
        <v>35.846</v>
      </c>
      <c r="Z115" s="34" t="n">
        <v>38.68</v>
      </c>
      <c r="AA115" s="35">
        <f>R115</f>
        <v/>
      </c>
      <c r="AB115" s="35">
        <f>V115</f>
        <v/>
      </c>
      <c r="AC115" s="35">
        <f>AC174*(-AC23)</f>
        <v/>
      </c>
      <c r="AD115" s="35">
        <f>AD174*(-AD23)</f>
        <v/>
      </c>
      <c r="AE115" s="35">
        <f>AE174*(-AE23)</f>
        <v/>
      </c>
    </row>
    <row r="116">
      <c r="D116" s="12" t="inlineStr">
        <is>
          <t>Accrued and Other Current Liabilities</t>
        </is>
      </c>
      <c r="G116" s="44" t="n"/>
      <c r="H116" s="44" t="n"/>
      <c r="I116" s="44" t="n"/>
      <c r="J116" s="38" t="n">
        <v>171.259</v>
      </c>
      <c r="K116" s="38" t="n">
        <v>168.919</v>
      </c>
      <c r="L116" s="38" t="n">
        <v>181.587</v>
      </c>
      <c r="M116" s="38" t="n">
        <v>201.862</v>
      </c>
      <c r="N116" s="38" t="n">
        <v>185.038</v>
      </c>
      <c r="O116" s="39">
        <f>O175*(-O23)</f>
        <v/>
      </c>
      <c r="P116" s="39">
        <f>P175*(-P23)</f>
        <v/>
      </c>
      <c r="Q116" s="39">
        <f>Q175*(-Q23)</f>
        <v/>
      </c>
      <c r="R116" s="39">
        <f>R175*(-R23)</f>
        <v/>
      </c>
      <c r="S116" s="39">
        <f>S175*(-S23)</f>
        <v/>
      </c>
      <c r="T116" s="39">
        <f>T175*(-T23)</f>
        <v/>
      </c>
      <c r="U116" s="39">
        <f>U175*(-U23)</f>
        <v/>
      </c>
      <c r="V116" s="39">
        <f>V175*(-V23)</f>
        <v/>
      </c>
      <c r="X116" s="44" t="n"/>
      <c r="Y116" s="38" t="n">
        <v>224.594</v>
      </c>
      <c r="Z116" s="38" t="n">
        <v>201.862</v>
      </c>
      <c r="AA116" s="39">
        <f>R116</f>
        <v/>
      </c>
      <c r="AB116" s="39">
        <f>V116</f>
        <v/>
      </c>
      <c r="AC116" s="39">
        <f>AC175*(-AC23)</f>
        <v/>
      </c>
      <c r="AD116" s="39">
        <f>AD175*(-AD23)</f>
        <v/>
      </c>
      <c r="AE116" s="39">
        <f>AE175*(-AE23)</f>
        <v/>
      </c>
    </row>
    <row r="117">
      <c r="D117" s="12" t="inlineStr">
        <is>
          <t>Product Obligation (SpotMe/MyPay liability)</t>
        </is>
      </c>
      <c r="G117" s="44" t="n"/>
      <c r="H117" s="44" t="n"/>
      <c r="I117" s="44" t="n"/>
      <c r="J117" s="38" t="n">
        <v>124.672</v>
      </c>
      <c r="K117" s="38" t="n">
        <v>138.979</v>
      </c>
      <c r="L117" s="38" t="n">
        <v>134.302</v>
      </c>
      <c r="M117" s="38" t="n">
        <v>147.382</v>
      </c>
      <c r="N117" s="38" t="n">
        <v>121.141</v>
      </c>
      <c r="O117" s="39">
        <f>O176*O10</f>
        <v/>
      </c>
      <c r="P117" s="39">
        <f>P176*P10</f>
        <v/>
      </c>
      <c r="Q117" s="39">
        <f>Q176*Q10</f>
        <v/>
      </c>
      <c r="R117" s="39">
        <f>R176*R10</f>
        <v/>
      </c>
      <c r="S117" s="39">
        <f>S176*S10</f>
        <v/>
      </c>
      <c r="T117" s="39">
        <f>T176*T10</f>
        <v/>
      </c>
      <c r="U117" s="39">
        <f>U176*U10</f>
        <v/>
      </c>
      <c r="V117" s="39">
        <f>V176*V10</f>
        <v/>
      </c>
      <c r="X117" s="44" t="n"/>
      <c r="Y117" s="38" t="n">
        <v>114.377</v>
      </c>
      <c r="Z117" s="38" t="n">
        <v>147.382</v>
      </c>
      <c r="AA117" s="39">
        <f>R117</f>
        <v/>
      </c>
      <c r="AB117" s="39">
        <f>V117</f>
        <v/>
      </c>
      <c r="AC117" s="39">
        <f>AC176*AC10</f>
        <v/>
      </c>
      <c r="AD117" s="39">
        <f>AD176*AD10</f>
        <v/>
      </c>
      <c r="AE117" s="39">
        <f>AE176*AE10</f>
        <v/>
      </c>
    </row>
    <row r="118">
      <c r="A118" s="9" t="inlineStr">
        <is>
          <t>x</t>
        </is>
      </c>
      <c r="C118" s="10" t="inlineStr">
        <is>
          <t>Total Current Liabilities</t>
        </is>
      </c>
      <c r="G118" s="36">
        <f>SUM(G115:G117)</f>
        <v/>
      </c>
      <c r="H118" s="36">
        <f>SUM(H115:H117)</f>
        <v/>
      </c>
      <c r="I118" s="36">
        <f>SUM(I115:I117)</f>
        <v/>
      </c>
      <c r="J118" s="36">
        <f>SUM(J115:J117)</f>
        <v/>
      </c>
      <c r="K118" s="36">
        <f>SUM(K115:K117)</f>
        <v/>
      </c>
      <c r="L118" s="36">
        <f>SUM(L115:L117)</f>
        <v/>
      </c>
      <c r="M118" s="36">
        <f>SUM(M115:M117)</f>
        <v/>
      </c>
      <c r="N118" s="36">
        <f>SUM(N115:N117)</f>
        <v/>
      </c>
      <c r="O118" s="36">
        <f>SUM(O115:O117)</f>
        <v/>
      </c>
      <c r="P118" s="36">
        <f>SUM(P115:P117)</f>
        <v/>
      </c>
      <c r="Q118" s="36">
        <f>SUM(Q115:Q117)</f>
        <v/>
      </c>
      <c r="R118" s="36">
        <f>SUM(R115:R117)</f>
        <v/>
      </c>
      <c r="S118" s="36">
        <f>SUM(S115:S117)</f>
        <v/>
      </c>
      <c r="T118" s="36">
        <f>SUM(T115:T117)</f>
        <v/>
      </c>
      <c r="U118" s="36">
        <f>SUM(U115:U117)</f>
        <v/>
      </c>
      <c r="V118" s="36">
        <f>SUM(V115:V117)</f>
        <v/>
      </c>
      <c r="X118" s="36">
        <f>SUM(X115:X117)</f>
        <v/>
      </c>
      <c r="Y118" s="36">
        <f>SUM(Y115:Y117)</f>
        <v/>
      </c>
      <c r="Z118" s="36">
        <f>SUM(Z115:Z117)</f>
        <v/>
      </c>
      <c r="AA118" s="36">
        <f>R118</f>
        <v/>
      </c>
      <c r="AB118" s="36">
        <f>V118</f>
        <v/>
      </c>
      <c r="AC118" s="36">
        <f>SUM(AC115:AC117)</f>
        <v/>
      </c>
      <c r="AD118" s="36">
        <f>SUM(AD115:AD117)</f>
        <v/>
      </c>
      <c r="AE118" s="36">
        <f>SUM(AE115:AE117)</f>
        <v/>
      </c>
    </row>
    <row r="119">
      <c r="D119" s="8" t="inlineStr">
        <is>
          <t>Reconciliation: variance vs. as-reported</t>
        </is>
      </c>
      <c r="G119" s="37">
        <f>G118-_reported!G21</f>
        <v/>
      </c>
      <c r="H119" s="37">
        <f>H118-_reported!H21</f>
        <v/>
      </c>
      <c r="I119" s="37">
        <f>I118-_reported!I21</f>
        <v/>
      </c>
      <c r="J119" s="37">
        <f>J118-_reported!J21</f>
        <v/>
      </c>
      <c r="K119" s="37">
        <f>K118-_reported!K21</f>
        <v/>
      </c>
      <c r="L119" s="37">
        <f>L118-_reported!L21</f>
        <v/>
      </c>
      <c r="M119" s="37">
        <f>M118-_reported!M21</f>
        <v/>
      </c>
      <c r="N119" s="37">
        <f>N118-_reported!N21</f>
        <v/>
      </c>
      <c r="X119" s="37">
        <f>X118-_reported!X21</f>
        <v/>
      </c>
      <c r="Y119" s="37">
        <f>Y118-_reported!Y21</f>
        <v/>
      </c>
      <c r="Z119" s="37">
        <f>Z118-_reported!Z21</f>
        <v/>
      </c>
    </row>
    <row r="120"/>
    <row r="121">
      <c r="D121" s="12" t="inlineStr">
        <is>
          <t>Operating Lease Liabilities, NC</t>
        </is>
      </c>
      <c r="G121" s="44" t="n"/>
      <c r="H121" s="44" t="n"/>
      <c r="I121" s="44" t="n"/>
      <c r="J121" s="34" t="n">
        <v>77.426</v>
      </c>
      <c r="K121" s="34" t="n">
        <v>74.765</v>
      </c>
      <c r="L121" s="34" t="n">
        <v>125.841</v>
      </c>
      <c r="M121" s="34" t="n">
        <v>123.284</v>
      </c>
      <c r="N121" s="34" t="n">
        <v>120.614</v>
      </c>
      <c r="O121" s="35">
        <f>N121</f>
        <v/>
      </c>
      <c r="P121" s="35">
        <f>O121</f>
        <v/>
      </c>
      <c r="Q121" s="35">
        <f>P121</f>
        <v/>
      </c>
      <c r="R121" s="35">
        <f>Q121</f>
        <v/>
      </c>
      <c r="S121" s="35">
        <f>R121</f>
        <v/>
      </c>
      <c r="T121" s="35">
        <f>S121</f>
        <v/>
      </c>
      <c r="U121" s="35">
        <f>T121</f>
        <v/>
      </c>
      <c r="V121" s="35">
        <f>U121</f>
        <v/>
      </c>
      <c r="X121" s="44" t="n"/>
      <c r="Y121" s="34" t="n">
        <v>80.59</v>
      </c>
      <c r="Z121" s="34" t="n">
        <v>123.284</v>
      </c>
      <c r="AA121" s="35">
        <f>R121</f>
        <v/>
      </c>
      <c r="AB121" s="35">
        <f>V121</f>
        <v/>
      </c>
      <c r="AC121" s="35">
        <f>AB121</f>
        <v/>
      </c>
      <c r="AD121" s="35">
        <f>AC121</f>
        <v/>
      </c>
      <c r="AE121" s="35">
        <f>AD121</f>
        <v/>
      </c>
    </row>
    <row r="122">
      <c r="D122" s="12" t="inlineStr">
        <is>
          <t>Other Non-Current Liabilities</t>
        </is>
      </c>
      <c r="G122" s="44" t="n"/>
      <c r="H122" s="44" t="n"/>
      <c r="I122" s="44" t="n"/>
      <c r="J122" s="38" t="n">
        <v>43.011</v>
      </c>
      <c r="K122" s="38" t="n">
        <v>39.913</v>
      </c>
      <c r="L122" s="38" t="n">
        <v>37.281</v>
      </c>
      <c r="M122" s="38" t="n">
        <v>51.691</v>
      </c>
      <c r="N122" s="38" t="n">
        <v>44.228</v>
      </c>
      <c r="O122" s="39">
        <f>N122</f>
        <v/>
      </c>
      <c r="P122" s="39">
        <f>O122</f>
        <v/>
      </c>
      <c r="Q122" s="39">
        <f>P122</f>
        <v/>
      </c>
      <c r="R122" s="39">
        <f>Q122</f>
        <v/>
      </c>
      <c r="S122" s="39">
        <f>R122</f>
        <v/>
      </c>
      <c r="T122" s="39">
        <f>S122</f>
        <v/>
      </c>
      <c r="U122" s="39">
        <f>T122</f>
        <v/>
      </c>
      <c r="V122" s="39">
        <f>U122</f>
        <v/>
      </c>
      <c r="X122" s="44" t="n"/>
      <c r="Y122" s="38" t="n">
        <v>46.109</v>
      </c>
      <c r="Z122" s="38" t="n">
        <v>51.691</v>
      </c>
      <c r="AA122" s="39">
        <f>R122</f>
        <v/>
      </c>
      <c r="AB122" s="39">
        <f>V122</f>
        <v/>
      </c>
      <c r="AC122" s="39">
        <f>AB122</f>
        <v/>
      </c>
      <c r="AD122" s="39">
        <f>AC122</f>
        <v/>
      </c>
      <c r="AE122" s="39">
        <f>AD122</f>
        <v/>
      </c>
    </row>
    <row r="123"/>
    <row r="124">
      <c r="A124" s="9" t="inlineStr">
        <is>
          <t>x</t>
        </is>
      </c>
      <c r="B124" s="10" t="inlineStr">
        <is>
          <t>Total Liabilities</t>
        </is>
      </c>
      <c r="G124" s="36">
        <f>G118+G121+G122</f>
        <v/>
      </c>
      <c r="H124" s="36">
        <f>H118+H121+H122</f>
        <v/>
      </c>
      <c r="I124" s="36">
        <f>I118+I121+I122</f>
        <v/>
      </c>
      <c r="J124" s="36">
        <f>J118+J121+J122</f>
        <v/>
      </c>
      <c r="K124" s="36">
        <f>K118+K121+K122</f>
        <v/>
      </c>
      <c r="L124" s="36">
        <f>L118+L121+L122</f>
        <v/>
      </c>
      <c r="M124" s="36">
        <f>M118+M121+M122</f>
        <v/>
      </c>
      <c r="N124" s="36">
        <f>N118+N121+N122</f>
        <v/>
      </c>
      <c r="O124" s="36">
        <f>O118+O121+O122</f>
        <v/>
      </c>
      <c r="P124" s="36">
        <f>P118+P121+P122</f>
        <v/>
      </c>
      <c r="Q124" s="36">
        <f>Q118+Q121+Q122</f>
        <v/>
      </c>
      <c r="R124" s="36">
        <f>R118+R121+R122</f>
        <v/>
      </c>
      <c r="S124" s="36">
        <f>S118+S121+S122</f>
        <v/>
      </c>
      <c r="T124" s="36">
        <f>T118+T121+T122</f>
        <v/>
      </c>
      <c r="U124" s="36">
        <f>U118+U121+U122</f>
        <v/>
      </c>
      <c r="V124" s="36">
        <f>V118+V121+V122</f>
        <v/>
      </c>
      <c r="X124" s="36">
        <f>X118+X121+X122</f>
        <v/>
      </c>
      <c r="Y124" s="36">
        <f>Y118+Y121+Y122</f>
        <v/>
      </c>
      <c r="Z124" s="36">
        <f>Z118+Z121+Z122</f>
        <v/>
      </c>
      <c r="AA124" s="36">
        <f>R124</f>
        <v/>
      </c>
      <c r="AB124" s="36">
        <f>V124</f>
        <v/>
      </c>
      <c r="AC124" s="36">
        <f>AC118+AC121+AC122</f>
        <v/>
      </c>
      <c r="AD124" s="36">
        <f>AD118+AD121+AD122</f>
        <v/>
      </c>
      <c r="AE124" s="36">
        <f>AE118+AE121+AE122</f>
        <v/>
      </c>
    </row>
    <row r="125">
      <c r="D125" s="8" t="inlineStr">
        <is>
          <t>Reconciliation: variance vs. as-reported</t>
        </is>
      </c>
      <c r="G125" s="37">
        <f>G124-_reported!G22</f>
        <v/>
      </c>
      <c r="H125" s="37">
        <f>H124-_reported!H22</f>
        <v/>
      </c>
      <c r="I125" s="37">
        <f>I124-_reported!I22</f>
        <v/>
      </c>
      <c r="J125" s="37">
        <f>J124-_reported!J22</f>
        <v/>
      </c>
      <c r="K125" s="37">
        <f>K124-_reported!K22</f>
        <v/>
      </c>
      <c r="L125" s="37">
        <f>L124-_reported!L22</f>
        <v/>
      </c>
      <c r="M125" s="37">
        <f>M124-_reported!M22</f>
        <v/>
      </c>
      <c r="N125" s="37">
        <f>N124-_reported!N22</f>
        <v/>
      </c>
      <c r="X125" s="37">
        <f>X124-_reported!X22</f>
        <v/>
      </c>
      <c r="Y125" s="37">
        <f>Y124-_reported!Y22</f>
        <v/>
      </c>
      <c r="Z125" s="37">
        <f>Z124-_reported!Z22</f>
        <v/>
      </c>
    </row>
    <row r="126"/>
    <row r="127"/>
    <row r="128">
      <c r="D128" s="2" t="inlineStr">
        <is>
          <t>Redeemable Convertible Preferred Stock (Mezzanine)</t>
        </is>
      </c>
      <c r="G128" s="44" t="n"/>
      <c r="H128" s="44" t="n"/>
      <c r="I128" s="44" t="n"/>
      <c r="J128" s="34" t="n">
        <v>2890.121</v>
      </c>
      <c r="K128" s="34" t="n">
        <v>0</v>
      </c>
      <c r="L128" s="34" t="n">
        <v>0</v>
      </c>
      <c r="M128" s="34" t="n">
        <v>0</v>
      </c>
      <c r="N128" s="34" t="n">
        <v>0</v>
      </c>
      <c r="O128" s="35" t="n">
        <v>0</v>
      </c>
      <c r="P128" s="35" t="n">
        <v>0</v>
      </c>
      <c r="Q128" s="35" t="n">
        <v>0</v>
      </c>
      <c r="R128" s="35" t="n">
        <v>0</v>
      </c>
      <c r="S128" s="35" t="n">
        <v>0</v>
      </c>
      <c r="T128" s="35" t="n">
        <v>0</v>
      </c>
      <c r="U128" s="35" t="n">
        <v>0</v>
      </c>
      <c r="V128" s="35" t="n">
        <v>0</v>
      </c>
      <c r="X128" s="44" t="n"/>
      <c r="Y128" s="34" t="n">
        <v>2890.121</v>
      </c>
      <c r="Z128" s="34" t="n">
        <v>0</v>
      </c>
      <c r="AA128" s="35">
        <f>R128</f>
        <v/>
      </c>
      <c r="AB128" s="35">
        <f>V128</f>
        <v/>
      </c>
      <c r="AC128" s="35" t="n">
        <v>0</v>
      </c>
      <c r="AD128" s="35" t="n">
        <v>0</v>
      </c>
      <c r="AE128" s="35" t="n">
        <v>0</v>
      </c>
    </row>
    <row r="129"/>
    <row r="130"/>
    <row r="131">
      <c r="D131" s="12" t="inlineStr">
        <is>
          <t>Common Stock</t>
        </is>
      </c>
      <c r="G131" s="44" t="n"/>
      <c r="H131" s="44" t="n"/>
      <c r="I131" s="44" t="n"/>
      <c r="J131" s="34" t="n">
        <v>0.002</v>
      </c>
      <c r="K131" s="34" t="n">
        <v>0.031</v>
      </c>
      <c r="L131" s="34" t="n">
        <v>0.031</v>
      </c>
      <c r="M131" s="34" t="n">
        <v>0.031</v>
      </c>
      <c r="N131" s="34" t="n">
        <v>0.031</v>
      </c>
      <c r="O131" s="35">
        <f>N131</f>
        <v/>
      </c>
      <c r="P131" s="35">
        <f>O131</f>
        <v/>
      </c>
      <c r="Q131" s="35">
        <f>P131</f>
        <v/>
      </c>
      <c r="R131" s="35">
        <f>Q131</f>
        <v/>
      </c>
      <c r="S131" s="35">
        <f>R131</f>
        <v/>
      </c>
      <c r="T131" s="35">
        <f>S131</f>
        <v/>
      </c>
      <c r="U131" s="35">
        <f>T131</f>
        <v/>
      </c>
      <c r="V131" s="35">
        <f>U131</f>
        <v/>
      </c>
      <c r="X131" s="44" t="n"/>
      <c r="Y131" s="34" t="n">
        <v>0.002</v>
      </c>
      <c r="Z131" s="34" t="n">
        <v>0.031</v>
      </c>
      <c r="AA131" s="35">
        <f>R131</f>
        <v/>
      </c>
      <c r="AB131" s="35">
        <f>V131</f>
        <v/>
      </c>
      <c r="AC131" s="35">
        <f>AB131</f>
        <v/>
      </c>
      <c r="AD131" s="35">
        <f>AC131</f>
        <v/>
      </c>
      <c r="AE131" s="35">
        <f>AD131</f>
        <v/>
      </c>
    </row>
    <row r="132">
      <c r="D132" s="12" t="inlineStr">
        <is>
          <t>Additional Paid-In Capital</t>
        </is>
      </c>
      <c r="G132" s="44" t="n"/>
      <c r="H132" s="44" t="n"/>
      <c r="I132" s="44" t="n"/>
      <c r="J132" s="38" t="n">
        <v>442.829</v>
      </c>
      <c r="K132" s="38" t="n">
        <v>4702.788</v>
      </c>
      <c r="L132" s="38" t="n">
        <v>4772.649</v>
      </c>
      <c r="M132" s="38" t="n">
        <v>4775.607</v>
      </c>
      <c r="N132" s="38" t="n">
        <v>4763.006</v>
      </c>
      <c r="O132" s="39">
        <f>N132+O186+O187+O224+O225+O223+O222</f>
        <v/>
      </c>
      <c r="P132" s="39">
        <f>O132+P186+P187+P224+P225+P223+P222</f>
        <v/>
      </c>
      <c r="Q132" s="39">
        <f>P132+Q186+Q187+Q224+Q225+Q223+Q222</f>
        <v/>
      </c>
      <c r="R132" s="39">
        <f>Q132+R186+R187+R224+R225+R223+R222</f>
        <v/>
      </c>
      <c r="S132" s="39">
        <f>R132+S186+S187+S224+S225+S223+S222</f>
        <v/>
      </c>
      <c r="T132" s="39">
        <f>S132+T186+T187+T224+T225+T223+T222</f>
        <v/>
      </c>
      <c r="U132" s="39">
        <f>T132+U186+U187+U224+U225+U223+U222</f>
        <v/>
      </c>
      <c r="V132" s="39">
        <f>U132+V186+V187+V224+V225+V223+V222</f>
        <v/>
      </c>
      <c r="X132" s="44" t="n"/>
      <c r="Y132" s="38" t="n">
        <v>433.363</v>
      </c>
      <c r="Z132" s="38" t="n">
        <v>4775.607</v>
      </c>
      <c r="AA132" s="39">
        <f>R132</f>
        <v/>
      </c>
      <c r="AB132" s="39">
        <f>V132</f>
        <v/>
      </c>
      <c r="AC132" s="39">
        <f>AB132+AC186+AC187+AC224+AC225+AC223+AC222</f>
        <v/>
      </c>
      <c r="AD132" s="39">
        <f>AC132+AD186+AD187+AD224+AD225+AD223+AD222</f>
        <v/>
      </c>
      <c r="AE132" s="39">
        <f>AD132+AE186+AE187+AE224+AE225+AE223+AE222</f>
        <v/>
      </c>
    </row>
    <row r="133">
      <c r="D133" s="12" t="inlineStr">
        <is>
          <t>Accumulated Other Comprehensive Income</t>
        </is>
      </c>
      <c r="G133" s="44" t="n"/>
      <c r="H133" s="44" t="n"/>
      <c r="I133" s="44" t="n"/>
      <c r="J133" s="38" t="n">
        <v>0.294</v>
      </c>
      <c r="K133" s="38" t="n">
        <v>-0.116</v>
      </c>
      <c r="L133" s="38" t="n">
        <v>-0.079</v>
      </c>
      <c r="M133" s="38" t="n">
        <v>0.172</v>
      </c>
      <c r="N133" s="38" t="n">
        <v>-0.947</v>
      </c>
      <c r="O133" s="39">
        <f>N133</f>
        <v/>
      </c>
      <c r="P133" s="39">
        <f>O133</f>
        <v/>
      </c>
      <c r="Q133" s="39">
        <f>P133</f>
        <v/>
      </c>
      <c r="R133" s="39">
        <f>Q133</f>
        <v/>
      </c>
      <c r="S133" s="39">
        <f>R133</f>
        <v/>
      </c>
      <c r="T133" s="39">
        <f>S133</f>
        <v/>
      </c>
      <c r="U133" s="39">
        <f>T133</f>
        <v/>
      </c>
      <c r="V133" s="39">
        <f>U133</f>
        <v/>
      </c>
      <c r="X133" s="44" t="n"/>
      <c r="Y133" s="38" t="n">
        <v>0.203</v>
      </c>
      <c r="Z133" s="38" t="n">
        <v>0.172</v>
      </c>
      <c r="AA133" s="39">
        <f>R133</f>
        <v/>
      </c>
      <c r="AB133" s="39">
        <f>V133</f>
        <v/>
      </c>
      <c r="AC133" s="39">
        <f>AB133</f>
        <v/>
      </c>
      <c r="AD133" s="39">
        <f>AC133</f>
        <v/>
      </c>
      <c r="AE133" s="39">
        <f>AD133</f>
        <v/>
      </c>
    </row>
    <row r="134">
      <c r="D134" s="12" t="inlineStr">
        <is>
          <t>Accumulated Deficit</t>
        </is>
      </c>
      <c r="G134" s="44" t="n"/>
      <c r="H134" s="44" t="n"/>
      <c r="I134" s="44" t="n"/>
      <c r="J134" s="38" t="n">
        <v>-2351.229</v>
      </c>
      <c r="K134" s="38" t="n">
        <v>-3274.605</v>
      </c>
      <c r="L134" s="38" t="n">
        <v>-3329.327</v>
      </c>
      <c r="M134" s="38" t="n">
        <v>-3374.104</v>
      </c>
      <c r="N134" s="38" t="n">
        <v>-3320.648</v>
      </c>
      <c r="O134" s="39">
        <f>N134+O37</f>
        <v/>
      </c>
      <c r="P134" s="39">
        <f>O134+P37</f>
        <v/>
      </c>
      <c r="Q134" s="39">
        <f>P134+Q37</f>
        <v/>
      </c>
      <c r="R134" s="39">
        <f>Q134+R37</f>
        <v/>
      </c>
      <c r="S134" s="39">
        <f>R134+S37</f>
        <v/>
      </c>
      <c r="T134" s="39">
        <f>S134+T37</f>
        <v/>
      </c>
      <c r="U134" s="39">
        <f>T134+U37</f>
        <v/>
      </c>
      <c r="V134" s="39">
        <f>U134+V37</f>
        <v/>
      </c>
      <c r="X134" s="44" t="n"/>
      <c r="Y134" s="38" t="n">
        <v>-2364.168</v>
      </c>
      <c r="Z134" s="38" t="n">
        <v>-3374.104</v>
      </c>
      <c r="AA134" s="39">
        <f>R134</f>
        <v/>
      </c>
      <c r="AB134" s="39">
        <f>V134</f>
        <v/>
      </c>
      <c r="AC134" s="39">
        <f>AB134+AC37</f>
        <v/>
      </c>
      <c r="AD134" s="39">
        <f>AC134+AD37</f>
        <v/>
      </c>
      <c r="AE134" s="39">
        <f>AD134+AE37</f>
        <v/>
      </c>
    </row>
    <row r="135"/>
    <row r="136">
      <c r="A136" s="9" t="inlineStr">
        <is>
          <t>x</t>
        </is>
      </c>
      <c r="C136" s="10" t="inlineStr">
        <is>
          <t>Total Stockholders' Equity (Deficit)</t>
        </is>
      </c>
      <c r="G136" s="36">
        <f>SUM(G131:G134)</f>
        <v/>
      </c>
      <c r="H136" s="36">
        <f>SUM(H131:H134)</f>
        <v/>
      </c>
      <c r="I136" s="36">
        <f>SUM(I131:I134)</f>
        <v/>
      </c>
      <c r="J136" s="36">
        <f>SUM(J131:J134)</f>
        <v/>
      </c>
      <c r="K136" s="36">
        <f>SUM(K131:K134)</f>
        <v/>
      </c>
      <c r="L136" s="36">
        <f>SUM(L131:L134)</f>
        <v/>
      </c>
      <c r="M136" s="36">
        <f>SUM(M131:M134)</f>
        <v/>
      </c>
      <c r="N136" s="36">
        <f>SUM(N131:N134)</f>
        <v/>
      </c>
      <c r="O136" s="36">
        <f>SUM(O131:O134)</f>
        <v/>
      </c>
      <c r="P136" s="36">
        <f>SUM(P131:P134)</f>
        <v/>
      </c>
      <c r="Q136" s="36">
        <f>SUM(Q131:Q134)</f>
        <v/>
      </c>
      <c r="R136" s="36">
        <f>SUM(R131:R134)</f>
        <v/>
      </c>
      <c r="S136" s="36">
        <f>SUM(S131:S134)</f>
        <v/>
      </c>
      <c r="T136" s="36">
        <f>SUM(T131:T134)</f>
        <v/>
      </c>
      <c r="U136" s="36">
        <f>SUM(U131:U134)</f>
        <v/>
      </c>
      <c r="V136" s="36">
        <f>SUM(V131:V134)</f>
        <v/>
      </c>
      <c r="X136" s="36">
        <f>SUM(X131:X134)</f>
        <v/>
      </c>
      <c r="Y136" s="36">
        <f>SUM(Y131:Y134)</f>
        <v/>
      </c>
      <c r="Z136" s="36">
        <f>SUM(Z131:Z134)</f>
        <v/>
      </c>
      <c r="AA136" s="36">
        <f>R136</f>
        <v/>
      </c>
      <c r="AB136" s="36">
        <f>V136</f>
        <v/>
      </c>
      <c r="AC136" s="36">
        <f>SUM(AC131:AC134)</f>
        <v/>
      </c>
      <c r="AD136" s="36">
        <f>SUM(AD131:AD134)</f>
        <v/>
      </c>
      <c r="AE136" s="36">
        <f>SUM(AE131:AE134)</f>
        <v/>
      </c>
    </row>
    <row r="137">
      <c r="D137" s="8" t="inlineStr">
        <is>
          <t>Reconciliation: variance vs. as-reported</t>
        </is>
      </c>
      <c r="G137" s="37">
        <f>G136-_reported!G23</f>
        <v/>
      </c>
      <c r="H137" s="37">
        <f>H136-_reported!H23</f>
        <v/>
      </c>
      <c r="I137" s="37">
        <f>I136-_reported!I23</f>
        <v/>
      </c>
      <c r="J137" s="37">
        <f>J136-_reported!J23</f>
        <v/>
      </c>
      <c r="K137" s="37">
        <f>K136-_reported!K23</f>
        <v/>
      </c>
      <c r="L137" s="37">
        <f>L136-_reported!L23</f>
        <v/>
      </c>
      <c r="M137" s="37">
        <f>M136-_reported!M23</f>
        <v/>
      </c>
      <c r="N137" s="37">
        <f>N136-_reported!N23</f>
        <v/>
      </c>
      <c r="X137" s="37">
        <f>X136-_reported!X23</f>
        <v/>
      </c>
      <c r="Y137" s="37">
        <f>Y136-_reported!Y23</f>
        <v/>
      </c>
      <c r="Z137" s="37">
        <f>Z136-_reported!Z23</f>
        <v/>
      </c>
    </row>
    <row r="138"/>
    <row r="139">
      <c r="A139" s="9" t="inlineStr">
        <is>
          <t>x</t>
        </is>
      </c>
      <c r="B139" s="10" t="inlineStr">
        <is>
          <t>Total Liabilities, Mezzanine + Equity</t>
        </is>
      </c>
      <c r="G139" s="36">
        <f>G124+G128+G136</f>
        <v/>
      </c>
      <c r="H139" s="36">
        <f>H124+H128+H136</f>
        <v/>
      </c>
      <c r="I139" s="36">
        <f>I124+I128+I136</f>
        <v/>
      </c>
      <c r="J139" s="36">
        <f>J124+J128+J136</f>
        <v/>
      </c>
      <c r="K139" s="36">
        <f>K124+K128+K136</f>
        <v/>
      </c>
      <c r="L139" s="36">
        <f>L124+L128+L136</f>
        <v/>
      </c>
      <c r="M139" s="36">
        <f>M124+M128+M136</f>
        <v/>
      </c>
      <c r="N139" s="36">
        <f>N124+N128+N136</f>
        <v/>
      </c>
      <c r="O139" s="36">
        <f>O124+O128+O136</f>
        <v/>
      </c>
      <c r="P139" s="36">
        <f>P124+P128+P136</f>
        <v/>
      </c>
      <c r="Q139" s="36">
        <f>Q124+Q128+Q136</f>
        <v/>
      </c>
      <c r="R139" s="36">
        <f>R124+R128+R136</f>
        <v/>
      </c>
      <c r="S139" s="36">
        <f>S124+S128+S136</f>
        <v/>
      </c>
      <c r="T139" s="36">
        <f>T124+T128+T136</f>
        <v/>
      </c>
      <c r="U139" s="36">
        <f>U124+U128+U136</f>
        <v/>
      </c>
      <c r="V139" s="36">
        <f>V124+V128+V136</f>
        <v/>
      </c>
      <c r="X139" s="36">
        <f>X124+X128+X136</f>
        <v/>
      </c>
      <c r="Y139" s="36">
        <f>Y124+Y128+Y136</f>
        <v/>
      </c>
      <c r="Z139" s="36">
        <f>Z124+Z128+Z136</f>
        <v/>
      </c>
      <c r="AA139" s="36">
        <f>R139</f>
        <v/>
      </c>
      <c r="AB139" s="36">
        <f>V139</f>
        <v/>
      </c>
      <c r="AC139" s="36">
        <f>AC124+AC128+AC136</f>
        <v/>
      </c>
      <c r="AD139" s="36">
        <f>AD124+AD128+AD136</f>
        <v/>
      </c>
      <c r="AE139" s="36">
        <f>AE124+AE128+AE136</f>
        <v/>
      </c>
    </row>
    <row r="140">
      <c r="D140" s="8" t="inlineStr">
        <is>
          <t>Reconciliation: variance vs. as-reported</t>
        </is>
      </c>
      <c r="G140" s="37">
        <f>G139-_reported!G24</f>
        <v/>
      </c>
      <c r="H140" s="37">
        <f>H139-_reported!H24</f>
        <v/>
      </c>
      <c r="I140" s="37">
        <f>I139-_reported!I24</f>
        <v/>
      </c>
      <c r="J140" s="37">
        <f>J139-_reported!J24</f>
        <v/>
      </c>
      <c r="K140" s="37">
        <f>K139-_reported!K24</f>
        <v/>
      </c>
      <c r="L140" s="37">
        <f>L139-_reported!L24</f>
        <v/>
      </c>
      <c r="M140" s="37">
        <f>M139-_reported!M24</f>
        <v/>
      </c>
      <c r="N140" s="37">
        <f>N139-_reported!N24</f>
        <v/>
      </c>
      <c r="X140" s="37">
        <f>X139-_reported!X24</f>
        <v/>
      </c>
      <c r="Y140" s="37">
        <f>Y139-_reported!Y24</f>
        <v/>
      </c>
      <c r="Z140" s="37">
        <f>Z139-_reported!Z24</f>
        <v/>
      </c>
    </row>
    <row r="141"/>
    <row r="142">
      <c r="A142" s="9" t="inlineStr">
        <is>
          <t>x</t>
        </is>
      </c>
      <c r="B142" s="21" t="inlineStr">
        <is>
          <t>★ PARITY (TA - TLE; must = 0)</t>
        </is>
      </c>
      <c r="G142" s="45">
        <f>G111-G139</f>
        <v/>
      </c>
      <c r="H142" s="45">
        <f>H111-H139</f>
        <v/>
      </c>
      <c r="I142" s="45">
        <f>I111-I139</f>
        <v/>
      </c>
      <c r="J142" s="45">
        <f>J111-J139</f>
        <v/>
      </c>
      <c r="K142" s="45">
        <f>K111-K139</f>
        <v/>
      </c>
      <c r="L142" s="45">
        <f>L111-L139</f>
        <v/>
      </c>
      <c r="M142" s="45">
        <f>M111-M139</f>
        <v/>
      </c>
      <c r="N142" s="45">
        <f>N111-N139</f>
        <v/>
      </c>
      <c r="O142" s="45">
        <f>O111-O139</f>
        <v/>
      </c>
      <c r="P142" s="45">
        <f>P111-P139</f>
        <v/>
      </c>
      <c r="Q142" s="45">
        <f>Q111-Q139</f>
        <v/>
      </c>
      <c r="R142" s="45">
        <f>R111-R139</f>
        <v/>
      </c>
      <c r="S142" s="45">
        <f>S111-S139</f>
        <v/>
      </c>
      <c r="T142" s="45">
        <f>T111-T139</f>
        <v/>
      </c>
      <c r="U142" s="45">
        <f>U111-U139</f>
        <v/>
      </c>
      <c r="V142" s="45">
        <f>V111-V139</f>
        <v/>
      </c>
      <c r="X142" s="45">
        <f>X111-X139</f>
        <v/>
      </c>
      <c r="Y142" s="45">
        <f>Y111-Y139</f>
        <v/>
      </c>
      <c r="Z142" s="45">
        <f>Z111-Z139</f>
        <v/>
      </c>
      <c r="AA142" s="46">
        <f>R142</f>
        <v/>
      </c>
      <c r="AB142" s="46">
        <f>V142</f>
        <v/>
      </c>
      <c r="AC142" s="45">
        <f>AC111-AC139</f>
        <v/>
      </c>
      <c r="AD142" s="45">
        <f>AD111-AD139</f>
        <v/>
      </c>
      <c r="AE142" s="45">
        <f>AE111-AE139</f>
        <v/>
      </c>
    </row>
    <row r="143"/>
    <row r="144"/>
    <row r="145">
      <c r="B145" s="20" t="inlineStr">
        <is>
          <t>Balance Sheet Ratios &amp; Assumptions</t>
        </is>
      </c>
      <c r="C145" s="20" t="n"/>
      <c r="D145" s="20" t="n"/>
      <c r="E145" s="20" t="n"/>
      <c r="F145" s="20" t="n"/>
      <c r="G145" s="20" t="n"/>
      <c r="H145" s="20" t="n"/>
      <c r="I145" s="20" t="n"/>
      <c r="J145" s="20" t="n"/>
      <c r="K145" s="20" t="n"/>
      <c r="L145" s="20" t="n"/>
      <c r="M145" s="20" t="n"/>
      <c r="N145" s="20" t="n"/>
      <c r="O145" s="20" t="n"/>
      <c r="P145" s="20" t="n"/>
      <c r="Q145" s="20" t="n"/>
      <c r="R145" s="20" t="n"/>
      <c r="S145" s="20" t="n"/>
      <c r="T145" s="20" t="n"/>
      <c r="U145" s="20" t="n"/>
      <c r="V145" s="20" t="n"/>
      <c r="X145" s="20" t="n"/>
      <c r="Y145" s="20" t="n"/>
      <c r="Z145" s="20" t="n"/>
      <c r="AA145" s="20" t="n"/>
      <c r="AB145" s="20" t="n"/>
      <c r="AC145" s="20" t="n"/>
      <c r="AD145" s="20" t="n"/>
      <c r="AE145" s="20" t="n"/>
    </row>
    <row r="146"/>
    <row r="147">
      <c r="D147" s="12" t="inlineStr">
        <is>
          <t>Current Ratio (TCA / TCL)</t>
        </is>
      </c>
      <c r="G147" s="47">
        <f>IFERROR(G104/G118,"")</f>
        <v/>
      </c>
      <c r="H147" s="47">
        <f>IFERROR(H104/H118,"")</f>
        <v/>
      </c>
      <c r="I147" s="47">
        <f>IFERROR(I104/I118,"")</f>
        <v/>
      </c>
      <c r="J147" s="47">
        <f>IFERROR(J104/J118,"")</f>
        <v/>
      </c>
      <c r="K147" s="47">
        <f>IFERROR(K104/K118,"")</f>
        <v/>
      </c>
      <c r="L147" s="47">
        <f>IFERROR(L104/L118,"")</f>
        <v/>
      </c>
      <c r="M147" s="47">
        <f>IFERROR(M104/M118,"")</f>
        <v/>
      </c>
      <c r="N147" s="47">
        <f>IFERROR(N104/N118,"")</f>
        <v/>
      </c>
      <c r="O147" s="47">
        <f>IFERROR(O104/O118,"")</f>
        <v/>
      </c>
      <c r="P147" s="47">
        <f>IFERROR(P104/P118,"")</f>
        <v/>
      </c>
      <c r="Q147" s="47">
        <f>IFERROR(Q104/Q118,"")</f>
        <v/>
      </c>
      <c r="R147" s="47">
        <f>IFERROR(R104/R118,"")</f>
        <v/>
      </c>
      <c r="S147" s="47">
        <f>IFERROR(S104/S118,"")</f>
        <v/>
      </c>
      <c r="T147" s="47">
        <f>IFERROR(T104/T118,"")</f>
        <v/>
      </c>
      <c r="U147" s="47">
        <f>IFERROR(U104/U118,"")</f>
        <v/>
      </c>
      <c r="V147" s="47">
        <f>IFERROR(V104/V118,"")</f>
        <v/>
      </c>
      <c r="X147" s="47">
        <f>IFERROR(X104/X118,"")</f>
        <v/>
      </c>
      <c r="Y147" s="47">
        <f>IFERROR(Y104/Y118,"")</f>
        <v/>
      </c>
      <c r="Z147" s="47">
        <f>IFERROR(Z104/Z118,"")</f>
        <v/>
      </c>
      <c r="AA147" s="47">
        <f>IFERROR(AA104/AA118,"")</f>
        <v/>
      </c>
      <c r="AB147" s="47">
        <f>IFERROR(AB104/AB118,"")</f>
        <v/>
      </c>
      <c r="AC147" s="47">
        <f>IFERROR(AC104/AC118,"")</f>
        <v/>
      </c>
      <c r="AD147" s="47">
        <f>IFERROR(AD104/AD118,"")</f>
        <v/>
      </c>
      <c r="AE147" s="47">
        <f>IFERROR(AE104/AE118,"")</f>
        <v/>
      </c>
    </row>
    <row r="148">
      <c r="D148" s="12" t="inlineStr">
        <is>
          <t>Quick Ratio ((Cash + AR) / TCL)</t>
        </is>
      </c>
      <c r="G148" s="47">
        <f>IFERROR((G97+G101)/G118,"")</f>
        <v/>
      </c>
      <c r="H148" s="47">
        <f>IFERROR((H97+H101)/H118,"")</f>
        <v/>
      </c>
      <c r="I148" s="47">
        <f>IFERROR((I97+I101)/I118,"")</f>
        <v/>
      </c>
      <c r="J148" s="47">
        <f>IFERROR((J97+J101)/J118,"")</f>
        <v/>
      </c>
      <c r="K148" s="47">
        <f>IFERROR((K97+K101)/K118,"")</f>
        <v/>
      </c>
      <c r="L148" s="47">
        <f>IFERROR((L97+L101)/L118,"")</f>
        <v/>
      </c>
      <c r="M148" s="47">
        <f>IFERROR((M97+M101)/M118,"")</f>
        <v/>
      </c>
      <c r="N148" s="47">
        <f>IFERROR((N97+N101)/N118,"")</f>
        <v/>
      </c>
      <c r="O148" s="47">
        <f>IFERROR((O97+O101)/O118,"")</f>
        <v/>
      </c>
      <c r="P148" s="47">
        <f>IFERROR((P97+P101)/P118,"")</f>
        <v/>
      </c>
      <c r="Q148" s="47">
        <f>IFERROR((Q97+Q101)/Q118,"")</f>
        <v/>
      </c>
      <c r="R148" s="47">
        <f>IFERROR((R97+R101)/R118,"")</f>
        <v/>
      </c>
      <c r="S148" s="47">
        <f>IFERROR((S97+S101)/S118,"")</f>
        <v/>
      </c>
      <c r="T148" s="47">
        <f>IFERROR((T97+T101)/T118,"")</f>
        <v/>
      </c>
      <c r="U148" s="47">
        <f>IFERROR((U97+U101)/U118,"")</f>
        <v/>
      </c>
      <c r="V148" s="47">
        <f>IFERROR((V97+V101)/V118,"")</f>
        <v/>
      </c>
      <c r="X148" s="47">
        <f>IFERROR((X97+X101)/X118,"")</f>
        <v/>
      </c>
      <c r="Y148" s="47">
        <f>IFERROR((Y97+Y101)/Y118,"")</f>
        <v/>
      </c>
      <c r="Z148" s="47">
        <f>IFERROR((Z97+Z101)/Z118,"")</f>
        <v/>
      </c>
      <c r="AA148" s="47">
        <f>IFERROR((AA97+AA101)/AA118,"")</f>
        <v/>
      </c>
      <c r="AB148" s="47">
        <f>IFERROR((AB97+AB101)/AB118,"")</f>
        <v/>
      </c>
      <c r="AC148" s="47">
        <f>IFERROR((AC97+AC101)/AC118,"")</f>
        <v/>
      </c>
      <c r="AD148" s="47">
        <f>IFERROR((AD97+AD101)/AD118,"")</f>
        <v/>
      </c>
      <c r="AE148" s="47">
        <f>IFERROR((AE97+AE101)/AE118,"")</f>
        <v/>
      </c>
    </row>
    <row r="149"/>
    <row r="150">
      <c r="D150" s="12" t="inlineStr">
        <is>
          <t>Net Working Capital (TCA - TCL)</t>
        </is>
      </c>
      <c r="G150" s="35">
        <f>IFERROR(G104-G118,"")</f>
        <v/>
      </c>
      <c r="H150" s="35">
        <f>IFERROR(H104-H118,"")</f>
        <v/>
      </c>
      <c r="I150" s="35">
        <f>IFERROR(I104-I118,"")</f>
        <v/>
      </c>
      <c r="J150" s="35">
        <f>IFERROR(J104-J118,"")</f>
        <v/>
      </c>
      <c r="K150" s="35">
        <f>IFERROR(K104-K118,"")</f>
        <v/>
      </c>
      <c r="L150" s="35">
        <f>IFERROR(L104-L118,"")</f>
        <v/>
      </c>
      <c r="M150" s="35">
        <f>IFERROR(M104-M118,"")</f>
        <v/>
      </c>
      <c r="N150" s="35">
        <f>IFERROR(N104-N118,"")</f>
        <v/>
      </c>
      <c r="O150" s="35">
        <f>IFERROR(O104-O118,"")</f>
        <v/>
      </c>
      <c r="P150" s="35">
        <f>IFERROR(P104-P118,"")</f>
        <v/>
      </c>
      <c r="Q150" s="35">
        <f>IFERROR(Q104-Q118,"")</f>
        <v/>
      </c>
      <c r="R150" s="35">
        <f>IFERROR(R104-R118,"")</f>
        <v/>
      </c>
      <c r="S150" s="35">
        <f>IFERROR(S104-S118,"")</f>
        <v/>
      </c>
      <c r="T150" s="35">
        <f>IFERROR(T104-T118,"")</f>
        <v/>
      </c>
      <c r="U150" s="35">
        <f>IFERROR(U104-U118,"")</f>
        <v/>
      </c>
      <c r="V150" s="35">
        <f>IFERROR(V104-V118,"")</f>
        <v/>
      </c>
      <c r="X150" s="35">
        <f>IFERROR(X104-X118,"")</f>
        <v/>
      </c>
      <c r="Y150" s="35">
        <f>IFERROR(Y104-Y118,"")</f>
        <v/>
      </c>
      <c r="Z150" s="35">
        <f>IFERROR(Z104-Z118,"")</f>
        <v/>
      </c>
      <c r="AA150" s="35">
        <f>IFERROR(AA104-AA118,"")</f>
        <v/>
      </c>
      <c r="AB150" s="35">
        <f>IFERROR(AB104-AB118,"")</f>
        <v/>
      </c>
      <c r="AC150" s="35">
        <f>IFERROR(AC104-AC118,"")</f>
        <v/>
      </c>
      <c r="AD150" s="35">
        <f>IFERROR(AD104-AD118,"")</f>
        <v/>
      </c>
      <c r="AE150" s="35">
        <f>IFERROR(AE104-AE118,"")</f>
        <v/>
      </c>
    </row>
    <row r="151"/>
    <row r="152">
      <c r="D152" s="8" t="inlineStr">
        <is>
          <t>DSO — Days Sales Outstanding (AR / Rev × period days)</t>
        </is>
      </c>
      <c r="G152" s="48">
        <f>IFERROR(G101/G10*91,"")</f>
        <v/>
      </c>
      <c r="H152" s="48">
        <f>IFERROR(H101/H10*91,"")</f>
        <v/>
      </c>
      <c r="I152" s="48">
        <f>IFERROR(I101/I10*91,"")</f>
        <v/>
      </c>
      <c r="J152" s="48">
        <f>IFERROR(J101/J10*91,"")</f>
        <v/>
      </c>
      <c r="K152" s="48">
        <f>IFERROR(K101/K10*91,"")</f>
        <v/>
      </c>
      <c r="L152" s="48">
        <f>IFERROR(L101/L10*91,"")</f>
        <v/>
      </c>
      <c r="M152" s="48">
        <f>IFERROR(M101/M10*91,"")</f>
        <v/>
      </c>
      <c r="N152" s="48">
        <f>IFERROR(N101/N10*91,"")</f>
        <v/>
      </c>
      <c r="O152" s="48">
        <f>IFERROR(O101/O10*91,"")</f>
        <v/>
      </c>
      <c r="P152" s="48">
        <f>IFERROR(P101/P10*91,"")</f>
        <v/>
      </c>
      <c r="Q152" s="48">
        <f>IFERROR(Q101/Q10*91,"")</f>
        <v/>
      </c>
      <c r="R152" s="48">
        <f>IFERROR(R101/R10*91,"")</f>
        <v/>
      </c>
      <c r="S152" s="48">
        <f>IFERROR(S101/S10*91,"")</f>
        <v/>
      </c>
      <c r="T152" s="48">
        <f>IFERROR(T101/T10*91,"")</f>
        <v/>
      </c>
      <c r="U152" s="48">
        <f>IFERROR(U101/U10*91,"")</f>
        <v/>
      </c>
      <c r="V152" s="48">
        <f>IFERROR(V101/V10*91,"")</f>
        <v/>
      </c>
      <c r="X152" s="48">
        <f>IFERROR(X101/X10*365,"")</f>
        <v/>
      </c>
      <c r="Y152" s="48">
        <f>IFERROR(Y101/Y10*365,"")</f>
        <v/>
      </c>
      <c r="Z152" s="48">
        <f>IFERROR(Z101/Z10*365,"")</f>
        <v/>
      </c>
      <c r="AA152" s="48">
        <f>IFERROR(AA101/AA10*365,"")</f>
        <v/>
      </c>
      <c r="AB152" s="48">
        <f>IFERROR(AB101/AB10*365,"")</f>
        <v/>
      </c>
      <c r="AC152" s="48">
        <f>IFERROR(AC101/AC10*365,"")</f>
        <v/>
      </c>
      <c r="AD152" s="48">
        <f>IFERROR(AD101/AD10*365,"")</f>
        <v/>
      </c>
      <c r="AE152" s="48">
        <f>IFERROR(AE101/AE10*365,"")</f>
        <v/>
      </c>
    </row>
    <row r="153">
      <c r="D153" s="8" t="inlineStr">
        <is>
          <t>DPO — Days Payable (AP / |OpEx| × period days)</t>
        </is>
      </c>
      <c r="G153" s="48">
        <f>IFERROR(G115/(-G23)*91,"")</f>
        <v/>
      </c>
      <c r="H153" s="48">
        <f>IFERROR(H115/(-H23)*91,"")</f>
        <v/>
      </c>
      <c r="I153" s="48">
        <f>IFERROR(I115/(-I23)*91,"")</f>
        <v/>
      </c>
      <c r="J153" s="48">
        <f>IFERROR(J115/(-J23)*91,"")</f>
        <v/>
      </c>
      <c r="K153" s="48">
        <f>IFERROR(K115/(-K23)*91,"")</f>
        <v/>
      </c>
      <c r="L153" s="48">
        <f>IFERROR(L115/(-L23)*91,"")</f>
        <v/>
      </c>
      <c r="M153" s="48">
        <f>IFERROR(M115/(-M23)*91,"")</f>
        <v/>
      </c>
      <c r="N153" s="48">
        <f>IFERROR(N115/(-N23)*91,"")</f>
        <v/>
      </c>
      <c r="O153" s="48">
        <f>IFERROR(O115/(-O23)*91,"")</f>
        <v/>
      </c>
      <c r="P153" s="48">
        <f>IFERROR(P115/(-P23)*91,"")</f>
        <v/>
      </c>
      <c r="Q153" s="48">
        <f>IFERROR(Q115/(-Q23)*91,"")</f>
        <v/>
      </c>
      <c r="R153" s="48">
        <f>IFERROR(R115/(-R23)*91,"")</f>
        <v/>
      </c>
      <c r="S153" s="48">
        <f>IFERROR(S115/(-S23)*91,"")</f>
        <v/>
      </c>
      <c r="T153" s="48">
        <f>IFERROR(T115/(-T23)*91,"")</f>
        <v/>
      </c>
      <c r="U153" s="48">
        <f>IFERROR(U115/(-U23)*91,"")</f>
        <v/>
      </c>
      <c r="V153" s="48">
        <f>IFERROR(V115/(-V23)*91,"")</f>
        <v/>
      </c>
      <c r="X153" s="48">
        <f>IFERROR(X115/(-X23)*365,"")</f>
        <v/>
      </c>
      <c r="Y153" s="48">
        <f>IFERROR(Y115/(-Y23)*365,"")</f>
        <v/>
      </c>
      <c r="Z153" s="48">
        <f>IFERROR(Z115/(-Z23)*365,"")</f>
        <v/>
      </c>
      <c r="AA153" s="48">
        <f>IFERROR(AA115/(-AA23)*365,"")</f>
        <v/>
      </c>
      <c r="AB153" s="48">
        <f>IFERROR(AB115/(-AB23)*365,"")</f>
        <v/>
      </c>
      <c r="AC153" s="48">
        <f>IFERROR(AC115/(-AC23)*365,"")</f>
        <v/>
      </c>
      <c r="AD153" s="48">
        <f>IFERROR(AD115/(-AD23)*365,"")</f>
        <v/>
      </c>
      <c r="AE153" s="48">
        <f>IFERROR(AE115/(-AE23)*365,"")</f>
        <v/>
      </c>
    </row>
    <row r="154"/>
    <row r="155">
      <c r="D155" s="12" t="inlineStr">
        <is>
          <t>AR (% of Q rev) [DRIVER]</t>
        </is>
      </c>
      <c r="G155" s="41">
        <f>IFERROR(G101/G10,"")</f>
        <v/>
      </c>
      <c r="H155" s="41">
        <f>IFERROR(H101/H10,"")</f>
        <v/>
      </c>
      <c r="I155" s="41">
        <f>IFERROR(I101/I10,"")</f>
        <v/>
      </c>
      <c r="J155" s="41">
        <f>IFERROR(J101/J10,"")</f>
        <v/>
      </c>
      <c r="K155" s="41">
        <f>IFERROR(K101/K10,"")</f>
        <v/>
      </c>
      <c r="L155" s="41">
        <f>IFERROR(L101/L10,"")</f>
        <v/>
      </c>
      <c r="M155" s="41">
        <f>IFERROR(M101/M10,"")</f>
        <v/>
      </c>
      <c r="N155" s="41">
        <f>IFERROR(N101/N10,"")</f>
        <v/>
      </c>
      <c r="O155" s="41">
        <f>IFERROR(O101/O10,"")</f>
        <v/>
      </c>
      <c r="P155" s="41">
        <f>IFERROR(P101/P10,"")</f>
        <v/>
      </c>
      <c r="Q155" s="41">
        <f>IFERROR(Q101/Q10,"")</f>
        <v/>
      </c>
      <c r="R155" s="41">
        <f>IFERROR(R101/R10,"")</f>
        <v/>
      </c>
      <c r="S155" s="41">
        <f>IFERROR(S101/S10,"")</f>
        <v/>
      </c>
      <c r="T155" s="41">
        <f>IFERROR(T101/T10,"")</f>
        <v/>
      </c>
      <c r="U155" s="41">
        <f>IFERROR(U101/U10,"")</f>
        <v/>
      </c>
      <c r="V155" s="41">
        <f>IFERROR(V101/V10,"")</f>
        <v/>
      </c>
      <c r="X155" s="41">
        <f>IFERROR(X101/X10,"")</f>
        <v/>
      </c>
      <c r="Y155" s="41">
        <f>IFERROR(Y101/Y10,"")</f>
        <v/>
      </c>
      <c r="Z155" s="41">
        <f>IFERROR(Z101/Z10,"")</f>
        <v/>
      </c>
      <c r="AA155" s="41">
        <f>IFERROR(AA101/AA10,"")</f>
        <v/>
      </c>
      <c r="AB155" s="41">
        <f>IFERROR(AB101/AB10,"")</f>
        <v/>
      </c>
      <c r="AC155" s="41">
        <f>IFERROR(AC101/AC10,"")</f>
        <v/>
      </c>
      <c r="AD155" s="41">
        <f>IFERROR(AD101/AD10,"")</f>
        <v/>
      </c>
      <c r="AE155" s="41">
        <f>IFERROR(AE101/AE10,"")</f>
        <v/>
      </c>
    </row>
    <row r="156">
      <c r="D156" s="12" t="inlineStr">
        <is>
          <t>Prepaid+Other CA (% of Revenue) [DRIVER]</t>
        </is>
      </c>
      <c r="G156" s="41">
        <f>IFERROR(G103/G10,"")</f>
        <v/>
      </c>
      <c r="H156" s="41">
        <f>IFERROR(H103/H10,"")</f>
        <v/>
      </c>
      <c r="I156" s="41">
        <f>IFERROR(I103/I10,"")</f>
        <v/>
      </c>
      <c r="J156" s="41">
        <f>IFERROR(J103/J10,"")</f>
        <v/>
      </c>
      <c r="K156" s="41">
        <f>IFERROR(K103/K10,"")</f>
        <v/>
      </c>
      <c r="L156" s="41">
        <f>IFERROR(L103/L10,"")</f>
        <v/>
      </c>
      <c r="M156" s="41">
        <f>IFERROR(M103/M10,"")</f>
        <v/>
      </c>
      <c r="N156" s="41">
        <f>IFERROR(N103/N10,"")</f>
        <v/>
      </c>
      <c r="O156" s="41">
        <f>IFERROR(O103/O10,"")</f>
        <v/>
      </c>
      <c r="P156" s="41">
        <f>IFERROR(P103/P10,"")</f>
        <v/>
      </c>
      <c r="Q156" s="41">
        <f>IFERROR(Q103/Q10,"")</f>
        <v/>
      </c>
      <c r="R156" s="41">
        <f>IFERROR(R103/R10,"")</f>
        <v/>
      </c>
      <c r="S156" s="41">
        <f>IFERROR(S103/S10,"")</f>
        <v/>
      </c>
      <c r="T156" s="41">
        <f>IFERROR(T103/T10,"")</f>
        <v/>
      </c>
      <c r="U156" s="41">
        <f>IFERROR(U103/U10,"")</f>
        <v/>
      </c>
      <c r="V156" s="41">
        <f>IFERROR(V103/V10,"")</f>
        <v/>
      </c>
      <c r="X156" s="41">
        <f>IFERROR(X103/X10,"")</f>
        <v/>
      </c>
      <c r="Y156" s="41">
        <f>IFERROR(Y103/Y10,"")</f>
        <v/>
      </c>
      <c r="Z156" s="41">
        <f>IFERROR(Z103/Z10,"")</f>
        <v/>
      </c>
      <c r="AA156" s="41">
        <f>IFERROR(AA103/AA10,"")</f>
        <v/>
      </c>
      <c r="AB156" s="41">
        <f>IFERROR(AB103/AB10,"")</f>
        <v/>
      </c>
      <c r="AC156" s="41">
        <f>IFERROR(AC103/AC10,"")</f>
        <v/>
      </c>
      <c r="AD156" s="41">
        <f>IFERROR(AD103/AD10,"")</f>
        <v/>
      </c>
      <c r="AE156" s="41">
        <f>IFERROR(AE103/AE10,"")</f>
        <v/>
      </c>
    </row>
    <row r="157">
      <c r="D157" s="12" t="inlineStr">
        <is>
          <t>AP (% of |OpEx|) [DRIVER]</t>
        </is>
      </c>
      <c r="G157" s="41">
        <f>IFERROR(G115/(-G23),"")</f>
        <v/>
      </c>
      <c r="H157" s="41">
        <f>IFERROR(H115/(-H23),"")</f>
        <v/>
      </c>
      <c r="I157" s="41">
        <f>IFERROR(I115/(-I23),"")</f>
        <v/>
      </c>
      <c r="J157" s="41">
        <f>IFERROR(J115/(-J23),"")</f>
        <v/>
      </c>
      <c r="K157" s="41">
        <f>IFERROR(K115/(-K23),"")</f>
        <v/>
      </c>
      <c r="L157" s="41">
        <f>IFERROR(L115/(-L23),"")</f>
        <v/>
      </c>
      <c r="M157" s="41">
        <f>IFERROR(M115/(-M23),"")</f>
        <v/>
      </c>
      <c r="N157" s="41">
        <f>IFERROR(N115/(-N23),"")</f>
        <v/>
      </c>
      <c r="O157" s="41">
        <f>IFERROR(O115/(-O23),"")</f>
        <v/>
      </c>
      <c r="P157" s="41">
        <f>IFERROR(P115/(-P23),"")</f>
        <v/>
      </c>
      <c r="Q157" s="41">
        <f>IFERROR(Q115/(-Q23),"")</f>
        <v/>
      </c>
      <c r="R157" s="41">
        <f>IFERROR(R115/(-R23),"")</f>
        <v/>
      </c>
      <c r="S157" s="41">
        <f>IFERROR(S115/(-S23),"")</f>
        <v/>
      </c>
      <c r="T157" s="41">
        <f>IFERROR(T115/(-T23),"")</f>
        <v/>
      </c>
      <c r="U157" s="41">
        <f>IFERROR(U115/(-U23),"")</f>
        <v/>
      </c>
      <c r="V157" s="41">
        <f>IFERROR(V115/(-V23),"")</f>
        <v/>
      </c>
      <c r="X157" s="41">
        <f>IFERROR(X115/(-X23),"")</f>
        <v/>
      </c>
      <c r="Y157" s="41">
        <f>IFERROR(Y115/(-Y23),"")</f>
        <v/>
      </c>
      <c r="Z157" s="41">
        <f>IFERROR(Z115/(-Z23),"")</f>
        <v/>
      </c>
      <c r="AA157" s="41">
        <f>IFERROR(AA115/(-AA23),"")</f>
        <v/>
      </c>
      <c r="AB157" s="41">
        <f>IFERROR(AB115/(-AB23),"")</f>
        <v/>
      </c>
      <c r="AC157" s="41">
        <f>IFERROR(AC115/(-AC23),"")</f>
        <v/>
      </c>
      <c r="AD157" s="41">
        <f>IFERROR(AD115/(-AD23),"")</f>
        <v/>
      </c>
      <c r="AE157" s="41">
        <f>IFERROR(AE115/(-AE23),"")</f>
        <v/>
      </c>
    </row>
    <row r="158">
      <c r="D158" s="12" t="inlineStr">
        <is>
          <t>Accrued+Other CL (% of |OpEx|) [DRIVER]</t>
        </is>
      </c>
      <c r="G158" s="41">
        <f>IFERROR(G116/(-G23),"")</f>
        <v/>
      </c>
      <c r="H158" s="41">
        <f>IFERROR(H116/(-H23),"")</f>
        <v/>
      </c>
      <c r="I158" s="41">
        <f>IFERROR(I116/(-I23),"")</f>
        <v/>
      </c>
      <c r="J158" s="41">
        <f>IFERROR(J116/(-J23),"")</f>
        <v/>
      </c>
      <c r="K158" s="41">
        <f>IFERROR(K116/(-K23),"")</f>
        <v/>
      </c>
      <c r="L158" s="41">
        <f>IFERROR(L116/(-L23),"")</f>
        <v/>
      </c>
      <c r="M158" s="41">
        <f>IFERROR(M116/(-M23),"")</f>
        <v/>
      </c>
      <c r="N158" s="41">
        <f>IFERROR(N116/(-N23),"")</f>
        <v/>
      </c>
      <c r="O158" s="41">
        <f>IFERROR(O116/(-O23),"")</f>
        <v/>
      </c>
      <c r="P158" s="41">
        <f>IFERROR(P116/(-P23),"")</f>
        <v/>
      </c>
      <c r="Q158" s="41">
        <f>IFERROR(Q116/(-Q23),"")</f>
        <v/>
      </c>
      <c r="R158" s="41">
        <f>IFERROR(R116/(-R23),"")</f>
        <v/>
      </c>
      <c r="S158" s="41">
        <f>IFERROR(S116/(-S23),"")</f>
        <v/>
      </c>
      <c r="T158" s="41">
        <f>IFERROR(T116/(-T23),"")</f>
        <v/>
      </c>
      <c r="U158" s="41">
        <f>IFERROR(U116/(-U23),"")</f>
        <v/>
      </c>
      <c r="V158" s="41">
        <f>IFERROR(V116/(-V23),"")</f>
        <v/>
      </c>
      <c r="X158" s="41">
        <f>IFERROR(X116/(-X23),"")</f>
        <v/>
      </c>
      <c r="Y158" s="41">
        <f>IFERROR(Y116/(-Y23),"")</f>
        <v/>
      </c>
      <c r="Z158" s="41">
        <f>IFERROR(Z116/(-Z23),"")</f>
        <v/>
      </c>
      <c r="AA158" s="41">
        <f>IFERROR(AA116/(-AA23),"")</f>
        <v/>
      </c>
      <c r="AB158" s="41">
        <f>IFERROR(AB116/(-AB23),"")</f>
        <v/>
      </c>
      <c r="AC158" s="41">
        <f>IFERROR(AC116/(-AC23),"")</f>
        <v/>
      </c>
      <c r="AD158" s="41">
        <f>IFERROR(AD116/(-AD23),"")</f>
        <v/>
      </c>
      <c r="AE158" s="41">
        <f>IFERROR(AE116/(-AE23),"")</f>
        <v/>
      </c>
    </row>
    <row r="159"/>
    <row r="160">
      <c r="D160" s="12" t="inlineStr">
        <is>
          <t>PPE (% of Revenue)</t>
        </is>
      </c>
      <c r="G160" s="41">
        <f>IFERROR(G107/G10,"")</f>
        <v/>
      </c>
      <c r="H160" s="41">
        <f>IFERROR(H107/H10,"")</f>
        <v/>
      </c>
      <c r="I160" s="41">
        <f>IFERROR(I107/I10,"")</f>
        <v/>
      </c>
      <c r="J160" s="41">
        <f>IFERROR(J107/J10,"")</f>
        <v/>
      </c>
      <c r="K160" s="41">
        <f>IFERROR(K107/K10,"")</f>
        <v/>
      </c>
      <c r="L160" s="41">
        <f>IFERROR(L107/L10,"")</f>
        <v/>
      </c>
      <c r="M160" s="41">
        <f>IFERROR(M107/M10,"")</f>
        <v/>
      </c>
      <c r="N160" s="41">
        <f>IFERROR(N107/N10,"")</f>
        <v/>
      </c>
      <c r="O160" s="41">
        <f>IFERROR(O107/O10,"")</f>
        <v/>
      </c>
      <c r="P160" s="41">
        <f>IFERROR(P107/P10,"")</f>
        <v/>
      </c>
      <c r="Q160" s="41">
        <f>IFERROR(Q107/Q10,"")</f>
        <v/>
      </c>
      <c r="R160" s="41">
        <f>IFERROR(R107/R10,"")</f>
        <v/>
      </c>
      <c r="S160" s="41">
        <f>IFERROR(S107/S10,"")</f>
        <v/>
      </c>
      <c r="T160" s="41">
        <f>IFERROR(T107/T10,"")</f>
        <v/>
      </c>
      <c r="U160" s="41">
        <f>IFERROR(U107/U10,"")</f>
        <v/>
      </c>
      <c r="V160" s="41">
        <f>IFERROR(V107/V10,"")</f>
        <v/>
      </c>
      <c r="X160" s="41">
        <f>IFERROR(X107/X10,"")</f>
        <v/>
      </c>
      <c r="Y160" s="41">
        <f>IFERROR(Y107/Y10,"")</f>
        <v/>
      </c>
      <c r="Z160" s="41">
        <f>IFERROR(Z107/Z10,"")</f>
        <v/>
      </c>
      <c r="AA160" s="41">
        <f>IFERROR(AA107/AA10,"")</f>
        <v/>
      </c>
      <c r="AB160" s="41">
        <f>IFERROR(AB107/AB10,"")</f>
        <v/>
      </c>
      <c r="AC160" s="41">
        <f>IFERROR(AC107/AC10,"")</f>
        <v/>
      </c>
      <c r="AD160" s="41">
        <f>IFERROR(AD107/AD10,"")</f>
        <v/>
      </c>
      <c r="AE160" s="41">
        <f>IFERROR(AE107/AE10,"")</f>
        <v/>
      </c>
    </row>
    <row r="161">
      <c r="D161" s="12" t="inlineStr">
        <is>
          <t>D&amp;A (% of PPE — depreciation rate)</t>
        </is>
      </c>
      <c r="G161" s="41">
        <f>IFERROR(-G22/G107,"")</f>
        <v/>
      </c>
      <c r="H161" s="41">
        <f>IFERROR(-H22/H107,"")</f>
        <v/>
      </c>
      <c r="I161" s="41">
        <f>IFERROR(-I22/I107,"")</f>
        <v/>
      </c>
      <c r="J161" s="41">
        <f>IFERROR(-J22/J107,"")</f>
        <v/>
      </c>
      <c r="K161" s="41">
        <f>IFERROR(-K22/K107,"")</f>
        <v/>
      </c>
      <c r="L161" s="41">
        <f>IFERROR(-L22/L107,"")</f>
        <v/>
      </c>
      <c r="M161" s="41">
        <f>IFERROR(-M22/M107,"")</f>
        <v/>
      </c>
      <c r="N161" s="41">
        <f>IFERROR(-N22/N107,"")</f>
        <v/>
      </c>
      <c r="O161" s="41">
        <f>IFERROR(-O22/O107,"")</f>
        <v/>
      </c>
      <c r="P161" s="41">
        <f>IFERROR(-P22/P107,"")</f>
        <v/>
      </c>
      <c r="Q161" s="41">
        <f>IFERROR(-Q22/Q107,"")</f>
        <v/>
      </c>
      <c r="R161" s="41">
        <f>IFERROR(-R22/R107,"")</f>
        <v/>
      </c>
      <c r="S161" s="41">
        <f>IFERROR(-S22/S107,"")</f>
        <v/>
      </c>
      <c r="T161" s="41">
        <f>IFERROR(-T22/T107,"")</f>
        <v/>
      </c>
      <c r="U161" s="41">
        <f>IFERROR(-U22/U107,"")</f>
        <v/>
      </c>
      <c r="V161" s="41">
        <f>IFERROR(-V22/V107,"")</f>
        <v/>
      </c>
      <c r="X161" s="41">
        <f>IFERROR(-X22/X107,"")</f>
        <v/>
      </c>
      <c r="Y161" s="41">
        <f>IFERROR(-Y22/Y107,"")</f>
        <v/>
      </c>
      <c r="Z161" s="41">
        <f>IFERROR(-Z22/Z107,"")</f>
        <v/>
      </c>
      <c r="AA161" s="41">
        <f>IFERROR(-AA22/AA107,"")</f>
        <v/>
      </c>
      <c r="AB161" s="41">
        <f>IFERROR(-AB22/AB107,"")</f>
        <v/>
      </c>
      <c r="AC161" s="41">
        <f>IFERROR(-AC22/AC107,"")</f>
        <v/>
      </c>
      <c r="AD161" s="41">
        <f>IFERROR(-AD22/AD107,"")</f>
        <v/>
      </c>
      <c r="AE161" s="41">
        <f>IFERROR(-AE22/AE107,"")</f>
        <v/>
      </c>
    </row>
    <row r="162"/>
    <row r="163">
      <c r="D163" s="12" t="inlineStr">
        <is>
          <t>Loans Held for Investment (% of Revenue) — MyPay/Instant Loans funding</t>
        </is>
      </c>
      <c r="G163" s="41">
        <f>IFERROR(G102/G10,"")</f>
        <v/>
      </c>
      <c r="H163" s="41">
        <f>IFERROR(H102/H10,"")</f>
        <v/>
      </c>
      <c r="I163" s="41">
        <f>IFERROR(I102/I10,"")</f>
        <v/>
      </c>
      <c r="J163" s="41">
        <f>IFERROR(J102/J10,"")</f>
        <v/>
      </c>
      <c r="K163" s="41">
        <f>IFERROR(K102/K10,"")</f>
        <v/>
      </c>
      <c r="L163" s="41">
        <f>IFERROR(L102/L10,"")</f>
        <v/>
      </c>
      <c r="M163" s="41">
        <f>IFERROR(M102/M10,"")</f>
        <v/>
      </c>
      <c r="N163" s="41">
        <f>IFERROR(N102/N10,"")</f>
        <v/>
      </c>
      <c r="O163" s="41">
        <f>IFERROR(O102/O10,"")</f>
        <v/>
      </c>
      <c r="P163" s="41">
        <f>IFERROR(P102/P10,"")</f>
        <v/>
      </c>
      <c r="Q163" s="41">
        <f>IFERROR(Q102/Q10,"")</f>
        <v/>
      </c>
      <c r="R163" s="41">
        <f>IFERROR(R102/R10,"")</f>
        <v/>
      </c>
      <c r="S163" s="41">
        <f>IFERROR(S102/S10,"")</f>
        <v/>
      </c>
      <c r="T163" s="41">
        <f>IFERROR(T102/T10,"")</f>
        <v/>
      </c>
      <c r="U163" s="41">
        <f>IFERROR(U102/U10,"")</f>
        <v/>
      </c>
      <c r="V163" s="41">
        <f>IFERROR(V102/V10,"")</f>
        <v/>
      </c>
      <c r="X163" s="41">
        <f>IFERROR(X102/X10,"")</f>
        <v/>
      </c>
      <c r="Y163" s="41">
        <f>IFERROR(Y102/Y10,"")</f>
        <v/>
      </c>
      <c r="Z163" s="41">
        <f>IFERROR(Z102/Z10,"")</f>
        <v/>
      </c>
      <c r="AA163" s="41">
        <f>IFERROR(AA102/AA10,"")</f>
        <v/>
      </c>
      <c r="AB163" s="41">
        <f>IFERROR(AB102/AB10,"")</f>
        <v/>
      </c>
      <c r="AC163" s="41">
        <f>IFERROR(AC102/AC10,"")</f>
        <v/>
      </c>
      <c r="AD163" s="41">
        <f>IFERROR(AD102/AD10,"")</f>
        <v/>
      </c>
      <c r="AE163" s="41">
        <f>IFERROR(AE102/AE10,"")</f>
        <v/>
      </c>
    </row>
    <row r="164"/>
    <row r="165"/>
    <row r="166"/>
    <row r="167">
      <c r="B167" s="20" t="inlineStr">
        <is>
          <t>BS Forecast Driver Ratios</t>
        </is>
      </c>
      <c r="C167" s="20" t="n"/>
      <c r="D167" s="20" t="n"/>
      <c r="E167" s="20" t="n"/>
      <c r="F167" s="20" t="n"/>
      <c r="G167" s="20" t="n"/>
      <c r="H167" s="20" t="n"/>
      <c r="I167" s="20" t="n"/>
      <c r="J167" s="20" t="n"/>
      <c r="K167" s="20" t="n"/>
      <c r="L167" s="20" t="n"/>
      <c r="M167" s="20" t="n"/>
      <c r="N167" s="20" t="n"/>
      <c r="O167" s="20" t="n"/>
      <c r="P167" s="20" t="n"/>
      <c r="Q167" s="20" t="n"/>
      <c r="R167" s="20" t="n"/>
      <c r="S167" s="20" t="n"/>
      <c r="T167" s="20" t="n"/>
      <c r="U167" s="20" t="n"/>
      <c r="V167" s="20" t="n"/>
      <c r="X167" s="20" t="n"/>
      <c r="Y167" s="20" t="n"/>
      <c r="Z167" s="20" t="n"/>
      <c r="AA167" s="20" t="n"/>
      <c r="AB167" s="20" t="n"/>
      <c r="AC167" s="20" t="n"/>
      <c r="AD167" s="20" t="n"/>
      <c r="AE167" s="20" t="n"/>
    </row>
    <row r="168"/>
    <row r="169">
      <c r="C169" s="12" t="inlineStr">
        <is>
          <t>AR (% of rev — drives AR projection)</t>
        </is>
      </c>
      <c r="J169" s="41">
        <f>IFERROR(J101/J10,"")</f>
        <v/>
      </c>
      <c r="K169" s="41">
        <f>IFERROR(K101/K10,"")</f>
        <v/>
      </c>
      <c r="L169" s="41">
        <f>IFERROR(L101/L10,"")</f>
        <v/>
      </c>
      <c r="M169" s="41">
        <f>IFERROR(M101/M10,"")</f>
        <v/>
      </c>
      <c r="N169" s="41">
        <f>IFERROR(N101/N10,"")</f>
        <v/>
      </c>
      <c r="O169" s="42" t="n">
        <v>0.45</v>
      </c>
      <c r="P169" s="42" t="n">
        <v>0.44</v>
      </c>
      <c r="Q169" s="42" t="n">
        <v>0.43</v>
      </c>
      <c r="R169" s="42" t="n">
        <v>0.43</v>
      </c>
      <c r="S169" s="42" t="n">
        <v>0.42</v>
      </c>
      <c r="T169" s="42" t="n">
        <v>0.41</v>
      </c>
      <c r="U169" s="42" t="n">
        <v>0.4</v>
      </c>
      <c r="V169" s="42" t="n">
        <v>0.4</v>
      </c>
      <c r="Y169" s="41">
        <f>IFERROR(Y101/Y10,"")</f>
        <v/>
      </c>
      <c r="Z169" s="41">
        <f>IFERROR(Z101/Z10,"")</f>
        <v/>
      </c>
      <c r="AA169" s="42" t="n">
        <v>0.115</v>
      </c>
      <c r="AB169" s="42" t="n">
        <v>0.112</v>
      </c>
      <c r="AC169" s="42" t="n">
        <v>0.108</v>
      </c>
      <c r="AD169" s="42" t="n">
        <v>0.105</v>
      </c>
      <c r="AE169" s="42" t="n">
        <v>0.105</v>
      </c>
    </row>
    <row r="170">
      <c r="C170" s="12" t="inlineStr">
        <is>
          <t>Prepaid+Other CA (% of rev)</t>
        </is>
      </c>
      <c r="J170" s="41">
        <f>IFERROR(J103/J10,"")</f>
        <v/>
      </c>
      <c r="K170" s="41">
        <f>IFERROR(K103/K10,"")</f>
        <v/>
      </c>
      <c r="L170" s="41">
        <f>IFERROR(L103/L10,"")</f>
        <v/>
      </c>
      <c r="M170" s="41">
        <f>IFERROR(M103/M10,"")</f>
        <v/>
      </c>
      <c r="N170" s="41">
        <f>IFERROR(N103/N10,"")</f>
        <v/>
      </c>
      <c r="O170" s="42" t="n">
        <v>0.135</v>
      </c>
      <c r="P170" s="42" t="n">
        <v>0.13</v>
      </c>
      <c r="Q170" s="42" t="n">
        <v>0.13</v>
      </c>
      <c r="R170" s="42" t="n">
        <v>0.128</v>
      </c>
      <c r="S170" s="42" t="n">
        <v>0.125</v>
      </c>
      <c r="T170" s="42" t="n">
        <v>0.122</v>
      </c>
      <c r="U170" s="42" t="n">
        <v>0.12</v>
      </c>
      <c r="V170" s="42" t="n">
        <v>0.118</v>
      </c>
      <c r="Y170" s="41">
        <f>IFERROR(Y103/Y10,"")</f>
        <v/>
      </c>
      <c r="Z170" s="41">
        <f>IFERROR(Z103/Z10,"")</f>
        <v/>
      </c>
      <c r="AA170" s="42" t="n">
        <v>0.05</v>
      </c>
      <c r="AB170" s="42" t="n">
        <v>0.05</v>
      </c>
      <c r="AC170" s="42" t="n">
        <v>0.048</v>
      </c>
      <c r="AD170" s="42" t="n">
        <v>0.046</v>
      </c>
      <c r="AE170" s="42" t="n">
        <v>0.045</v>
      </c>
    </row>
    <row r="171">
      <c r="C171" s="12" t="inlineStr">
        <is>
          <t>Loans Held Inv (% of rev — MyPay funding)</t>
        </is>
      </c>
      <c r="J171" s="41">
        <f>IFERROR(J102/J10,"")</f>
        <v/>
      </c>
      <c r="K171" s="41">
        <f>IFERROR(K102/K10,"")</f>
        <v/>
      </c>
      <c r="L171" s="41">
        <f>IFERROR(L102/L10,"")</f>
        <v/>
      </c>
      <c r="M171" s="41">
        <f>IFERROR(M102/M10,"")</f>
        <v/>
      </c>
      <c r="N171" s="41">
        <f>IFERROR(N102/N10,"")</f>
        <v/>
      </c>
      <c r="O171" s="42" t="n">
        <v>0.165</v>
      </c>
      <c r="P171" s="42" t="n">
        <v>0.17</v>
      </c>
      <c r="Q171" s="42" t="n">
        <v>0.175</v>
      </c>
      <c r="R171" s="42" t="n">
        <v>0.18</v>
      </c>
      <c r="S171" s="42" t="n">
        <v>0.18</v>
      </c>
      <c r="T171" s="42" t="n">
        <v>0.18</v>
      </c>
      <c r="U171" s="42" t="n">
        <v>0.18</v>
      </c>
      <c r="V171" s="42" t="n">
        <v>0.18</v>
      </c>
      <c r="Y171" s="41">
        <f>IFERROR(Y102/Y10,"")</f>
        <v/>
      </c>
      <c r="Z171" s="41">
        <f>IFERROR(Z102/Z10,"")</f>
        <v/>
      </c>
      <c r="AA171" s="42" t="n">
        <v>0.04</v>
      </c>
      <c r="AB171" s="42" t="n">
        <v>0.05</v>
      </c>
      <c r="AC171" s="42" t="n">
        <v>0.06</v>
      </c>
      <c r="AD171" s="42" t="n">
        <v>0.07000000000000001</v>
      </c>
      <c r="AE171" s="42" t="n">
        <v>0.075</v>
      </c>
    </row>
    <row r="172">
      <c r="C172" s="12" t="inlineStr">
        <is>
          <t>Product Collateral (% of rev)</t>
        </is>
      </c>
      <c r="J172" s="41">
        <f>IFERROR(J100/J10,"")</f>
        <v/>
      </c>
      <c r="K172" s="41">
        <f>IFERROR(K100/K10,"")</f>
        <v/>
      </c>
      <c r="L172" s="41">
        <f>IFERROR(L100/L10,"")</f>
        <v/>
      </c>
      <c r="M172" s="41">
        <f>IFERROR(M100/M10,"")</f>
        <v/>
      </c>
      <c r="N172" s="41">
        <f>IFERROR(N100/N10,"")</f>
        <v/>
      </c>
      <c r="O172" s="42" t="n">
        <v>0.36</v>
      </c>
      <c r="P172" s="42" t="n">
        <v>0.36</v>
      </c>
      <c r="Q172" s="42" t="n">
        <v>0.36</v>
      </c>
      <c r="R172" s="42" t="n">
        <v>0.36</v>
      </c>
      <c r="S172" s="42" t="n">
        <v>0.36</v>
      </c>
      <c r="T172" s="42" t="n">
        <v>0.36</v>
      </c>
      <c r="U172" s="42" t="n">
        <v>0.36</v>
      </c>
      <c r="V172" s="42" t="n">
        <v>0.36</v>
      </c>
      <c r="Y172" s="41">
        <f>IFERROR(Y100/Y10,"")</f>
        <v/>
      </c>
      <c r="Z172" s="41">
        <f>IFERROR(Z100/Z10,"")</f>
        <v/>
      </c>
      <c r="AA172" s="42" t="n">
        <v>0.115</v>
      </c>
      <c r="AB172" s="42" t="n">
        <v>0.115</v>
      </c>
      <c r="AC172" s="42" t="n">
        <v>0.115</v>
      </c>
      <c r="AD172" s="42" t="n">
        <v>0.115</v>
      </c>
      <c r="AE172" s="42" t="n">
        <v>0.115</v>
      </c>
    </row>
    <row r="173">
      <c r="C173" s="12" t="inlineStr">
        <is>
          <t>PPE (% of rev)</t>
        </is>
      </c>
      <c r="J173" s="41">
        <f>IFERROR(J107/J10,"")</f>
        <v/>
      </c>
      <c r="K173" s="41">
        <f>IFERROR(K107/K10,"")</f>
        <v/>
      </c>
      <c r="L173" s="41">
        <f>IFERROR(L107/L10,"")</f>
        <v/>
      </c>
      <c r="M173" s="41">
        <f>IFERROR(M107/M10,"")</f>
        <v/>
      </c>
      <c r="N173" s="41">
        <f>IFERROR(N107/N10,"")</f>
        <v/>
      </c>
      <c r="O173" s="42" t="n">
        <v>0.146</v>
      </c>
      <c r="P173" s="42" t="n">
        <v>0.146</v>
      </c>
      <c r="Q173" s="42" t="n">
        <v>0.145</v>
      </c>
      <c r="R173" s="42" t="n">
        <v>0.143</v>
      </c>
      <c r="S173" s="42" t="n">
        <v>0.14</v>
      </c>
      <c r="T173" s="42" t="n">
        <v>0.138</v>
      </c>
      <c r="U173" s="42" t="n">
        <v>0.135</v>
      </c>
      <c r="V173" s="42" t="n">
        <v>0.13</v>
      </c>
      <c r="Y173" s="41">
        <f>IFERROR(Y107/Y10,"")</f>
        <v/>
      </c>
      <c r="Z173" s="41">
        <f>IFERROR(Z107/Z10,"")</f>
        <v/>
      </c>
      <c r="AA173" s="42" t="n">
        <v>0.04</v>
      </c>
      <c r="AB173" s="42" t="n">
        <v>0.038</v>
      </c>
      <c r="AC173" s="42" t="n">
        <v>0.036</v>
      </c>
      <c r="AD173" s="42" t="n">
        <v>0.034</v>
      </c>
      <c r="AE173" s="42" t="n">
        <v>0.032</v>
      </c>
    </row>
    <row r="174">
      <c r="C174" s="12" t="inlineStr">
        <is>
          <t>AP (% of |OpEx|)</t>
        </is>
      </c>
      <c r="J174" s="41">
        <f>IFERROR(J115/(-J23),"")</f>
        <v/>
      </c>
      <c r="K174" s="41">
        <f>IFERROR(K115/(-K23),"")</f>
        <v/>
      </c>
      <c r="L174" s="41">
        <f>IFERROR(L115/(-L23),"")</f>
        <v/>
      </c>
      <c r="M174" s="41">
        <f>IFERROR(M115/(-M23),"")</f>
        <v/>
      </c>
      <c r="N174" s="41">
        <f>IFERROR(N115/(-N23),"")</f>
        <v/>
      </c>
      <c r="O174" s="42" t="n">
        <v>0.063</v>
      </c>
      <c r="P174" s="42" t="n">
        <v>0.063</v>
      </c>
      <c r="Q174" s="42" t="n">
        <v>0.063</v>
      </c>
      <c r="R174" s="42" t="n">
        <v>0.063</v>
      </c>
      <c r="S174" s="42" t="n">
        <v>0.063</v>
      </c>
      <c r="T174" s="42" t="n">
        <v>0.063</v>
      </c>
      <c r="U174" s="42" t="n">
        <v>0.063</v>
      </c>
      <c r="V174" s="42" t="n">
        <v>0.063</v>
      </c>
      <c r="Y174" s="41">
        <f>IFERROR(Y115/(-Y23),"")</f>
        <v/>
      </c>
      <c r="Z174" s="41">
        <f>IFERROR(Z115/(-Z23),"")</f>
        <v/>
      </c>
      <c r="AA174" s="42" t="n">
        <v>0.015</v>
      </c>
      <c r="AB174" s="42" t="n">
        <v>0.015</v>
      </c>
      <c r="AC174" s="42" t="n">
        <v>0.015</v>
      </c>
      <c r="AD174" s="42" t="n">
        <v>0.015</v>
      </c>
      <c r="AE174" s="42" t="n">
        <v>0.015</v>
      </c>
    </row>
    <row r="175">
      <c r="C175" s="12" t="inlineStr">
        <is>
          <t>Accrued+Other CL (% of |OpEx|)</t>
        </is>
      </c>
      <c r="J175" s="41">
        <f>IFERROR(J116/(-J23),"")</f>
        <v/>
      </c>
      <c r="K175" s="41">
        <f>IFERROR(K116/(-K23),"")</f>
        <v/>
      </c>
      <c r="L175" s="41">
        <f>IFERROR(L116/(-L23),"")</f>
        <v/>
      </c>
      <c r="M175" s="41">
        <f>IFERROR(M116/(-M23),"")</f>
        <v/>
      </c>
      <c r="N175" s="41">
        <f>IFERROR(N116/(-N23),"")</f>
        <v/>
      </c>
      <c r="O175" s="42" t="n">
        <v>0.31</v>
      </c>
      <c r="P175" s="42" t="n">
        <v>0.31</v>
      </c>
      <c r="Q175" s="42" t="n">
        <v>0.305</v>
      </c>
      <c r="R175" s="42" t="n">
        <v>0.305</v>
      </c>
      <c r="S175" s="42" t="n">
        <v>0.3</v>
      </c>
      <c r="T175" s="42" t="n">
        <v>0.3</v>
      </c>
      <c r="U175" s="42" t="n">
        <v>0.295</v>
      </c>
      <c r="V175" s="42" t="n">
        <v>0.29</v>
      </c>
      <c r="Y175" s="41">
        <f>IFERROR(Y116/(-Y23),"")</f>
        <v/>
      </c>
      <c r="Z175" s="41">
        <f>IFERROR(Z116/(-Z23),"")</f>
        <v/>
      </c>
      <c r="AA175" s="42" t="n">
        <v>0.075</v>
      </c>
      <c r="AB175" s="42" t="n">
        <v>0.08</v>
      </c>
      <c r="AC175" s="42" t="n">
        <v>0.08500000000000001</v>
      </c>
      <c r="AD175" s="42" t="n">
        <v>0.09</v>
      </c>
      <c r="AE175" s="42" t="n">
        <v>0.09</v>
      </c>
    </row>
    <row r="176">
      <c r="C176" s="12" t="inlineStr">
        <is>
          <t>Product Obligation (% of rev)</t>
        </is>
      </c>
      <c r="J176" s="41">
        <f>IFERROR(J117/J10,"")</f>
        <v/>
      </c>
      <c r="K176" s="41">
        <f>IFERROR(K117/K10,"")</f>
        <v/>
      </c>
      <c r="L176" s="41">
        <f>IFERROR(L117/L10,"")</f>
        <v/>
      </c>
      <c r="M176" s="41">
        <f>IFERROR(M117/M10,"")</f>
        <v/>
      </c>
      <c r="N176" s="41">
        <f>IFERROR(N117/N10,"")</f>
        <v/>
      </c>
      <c r="O176" s="42" t="n">
        <v>0.19</v>
      </c>
      <c r="P176" s="42" t="n">
        <v>0.19</v>
      </c>
      <c r="Q176" s="42" t="n">
        <v>0.19</v>
      </c>
      <c r="R176" s="42" t="n">
        <v>0.19</v>
      </c>
      <c r="S176" s="42" t="n">
        <v>0.19</v>
      </c>
      <c r="T176" s="42" t="n">
        <v>0.19</v>
      </c>
      <c r="U176" s="42" t="n">
        <v>0.19</v>
      </c>
      <c r="V176" s="42" t="n">
        <v>0.19</v>
      </c>
      <c r="Y176" s="41">
        <f>IFERROR(Y117/Y10,"")</f>
        <v/>
      </c>
      <c r="Z176" s="41">
        <f>IFERROR(Z117/Z10,"")</f>
        <v/>
      </c>
      <c r="AA176" s="42" t="n">
        <v>0.067</v>
      </c>
      <c r="AB176" s="42" t="n">
        <v>0.067</v>
      </c>
      <c r="AC176" s="42" t="n">
        <v>0.067</v>
      </c>
      <c r="AD176" s="42" t="n">
        <v>0.067</v>
      </c>
      <c r="AE176" s="42" t="n">
        <v>0.067</v>
      </c>
    </row>
    <row r="177">
      <c r="C177" s="12" t="inlineStr">
        <is>
          <t>SBC (% of rev) [drives CF + APIC roll]</t>
        </is>
      </c>
      <c r="G177" s="41">
        <f>IFERROR(G186/G10,"")</f>
        <v/>
      </c>
      <c r="H177" s="41">
        <f>IFERROR(H186/H10,"")</f>
        <v/>
      </c>
      <c r="I177" s="41">
        <f>IFERROR(I186/I10,"")</f>
        <v/>
      </c>
      <c r="J177" s="41">
        <f>IFERROR(J186/J10,"")</f>
        <v/>
      </c>
      <c r="K177" s="41">
        <f>IFERROR(K186/K10,"")</f>
        <v/>
      </c>
      <c r="L177" s="41">
        <f>IFERROR(L186/L10,"")</f>
        <v/>
      </c>
      <c r="M177" s="41">
        <f>IFERROR(M186/M10,"")</f>
        <v/>
      </c>
      <c r="N177" s="41">
        <f>IFERROR(N186/N10,"")</f>
        <v/>
      </c>
      <c r="O177" s="42" t="n">
        <v>0.08500000000000001</v>
      </c>
      <c r="P177" s="42" t="n">
        <v>0.08</v>
      </c>
      <c r="Q177" s="42" t="n">
        <v>0.075</v>
      </c>
      <c r="R177" s="42" t="n">
        <v>0.07000000000000001</v>
      </c>
      <c r="S177" s="42" t="n">
        <v>0.065</v>
      </c>
      <c r="T177" s="42" t="n">
        <v>0.06</v>
      </c>
      <c r="U177" s="42" t="n">
        <v>0.055</v>
      </c>
      <c r="V177" s="42" t="n">
        <v>0.05</v>
      </c>
      <c r="X177" s="41">
        <f>IFERROR(X186/X10,"")</f>
        <v/>
      </c>
      <c r="Y177" s="41">
        <f>IFERROR(Y186/Y10,"")</f>
        <v/>
      </c>
      <c r="Z177" s="41">
        <f>IFERROR(Z186/Z10,"")</f>
        <v/>
      </c>
      <c r="AA177" s="42" t="n">
        <v>0.082</v>
      </c>
      <c r="AB177" s="42" t="n">
        <v>0.063</v>
      </c>
      <c r="AC177" s="42" t="n">
        <v>0.052</v>
      </c>
      <c r="AD177" s="42" t="n">
        <v>0.043</v>
      </c>
      <c r="AE177" s="42" t="n">
        <v>0.035</v>
      </c>
    </row>
    <row r="178">
      <c r="C178" s="12" t="inlineStr">
        <is>
          <t>Capex (% of rev) [drives CFI + PPE roll]</t>
        </is>
      </c>
      <c r="G178" s="41">
        <f>IFERROR((-G213-G214)/G10,"")</f>
        <v/>
      </c>
      <c r="H178" s="41">
        <f>IFERROR((-H213-H214)/H10,"")</f>
        <v/>
      </c>
      <c r="I178" s="41">
        <f>IFERROR((-I213-I214)/I10,"")</f>
        <v/>
      </c>
      <c r="J178" s="41">
        <f>IFERROR((-J213-J214)/J10,"")</f>
        <v/>
      </c>
      <c r="K178" s="41">
        <f>IFERROR((-K213-K214)/K10,"")</f>
        <v/>
      </c>
      <c r="L178" s="41">
        <f>IFERROR((-L213-L214)/L10,"")</f>
        <v/>
      </c>
      <c r="M178" s="41">
        <f>IFERROR((-M213-M214)/M10,"")</f>
        <v/>
      </c>
      <c r="N178" s="41">
        <f>IFERROR((-N213-N214)/N10,"")</f>
        <v/>
      </c>
      <c r="O178" s="42" t="n">
        <v>0.012</v>
      </c>
      <c r="P178" s="42" t="n">
        <v>0.012</v>
      </c>
      <c r="Q178" s="42" t="n">
        <v>0.012</v>
      </c>
      <c r="R178" s="42" t="n">
        <v>0.012</v>
      </c>
      <c r="S178" s="42" t="n">
        <v>0.012</v>
      </c>
      <c r="T178" s="42" t="n">
        <v>0.012</v>
      </c>
      <c r="U178" s="42" t="n">
        <v>0.012</v>
      </c>
      <c r="V178" s="42" t="n">
        <v>0.012</v>
      </c>
      <c r="X178" s="41">
        <f>IFERROR((-X213-X214)/X10,"")</f>
        <v/>
      </c>
      <c r="Y178" s="41">
        <f>IFERROR((-Y213-Y214)/Y10,"")</f>
        <v/>
      </c>
      <c r="Z178" s="41">
        <f>IFERROR((-Z213-Z214)/Z10,"")</f>
        <v/>
      </c>
      <c r="AA178" s="42" t="n">
        <v>0.012</v>
      </c>
      <c r="AB178" s="42" t="n">
        <v>0.013</v>
      </c>
      <c r="AC178" s="42" t="n">
        <v>0.014</v>
      </c>
      <c r="AD178" s="42" t="n">
        <v>0.014</v>
      </c>
      <c r="AE178" s="42" t="n">
        <v>0.015</v>
      </c>
    </row>
    <row r="179"/>
    <row r="180"/>
    <row r="181">
      <c r="B181" s="25" t="inlineStr">
        <is>
          <t>Cash Flow Statement</t>
        </is>
      </c>
      <c r="C181" s="25" t="n"/>
      <c r="D181" s="25" t="n"/>
      <c r="E181" s="25" t="n"/>
      <c r="F181" s="25" t="n"/>
      <c r="G181" s="25" t="n"/>
      <c r="H181" s="25" t="n"/>
      <c r="I181" s="25" t="n"/>
      <c r="J181" s="25" t="n"/>
      <c r="K181" s="25" t="n"/>
      <c r="L181" s="25" t="n"/>
      <c r="M181" s="25" t="n"/>
      <c r="N181" s="25" t="n"/>
      <c r="O181" s="25" t="n"/>
      <c r="P181" s="25" t="n"/>
      <c r="Q181" s="25" t="n"/>
      <c r="R181" s="25" t="n"/>
      <c r="S181" s="25" t="n"/>
      <c r="T181" s="25" t="n"/>
      <c r="U181" s="25" t="n"/>
      <c r="V181" s="25" t="n"/>
      <c r="X181" s="25" t="n"/>
      <c r="Y181" s="25" t="n"/>
      <c r="Z181" s="25" t="n"/>
      <c r="AA181" s="25" t="n"/>
      <c r="AB181" s="25" t="n"/>
      <c r="AC181" s="25" t="n"/>
      <c r="AD181" s="25" t="n"/>
      <c r="AE181" s="25" t="n"/>
    </row>
    <row r="182">
      <c r="C182" s="8" t="inlineStr">
        <is>
          <t>Source: 10-K FY25 + S-1 (Q1 24/25 CF) + 8-Ks YTD CF. Standalone Q derived: Q2=H1−Q1; Q3=9M−H1; Q4=FY−9M.</t>
        </is>
      </c>
    </row>
    <row r="183">
      <c r="D183" s="12" t="inlineStr">
        <is>
          <t>Net Income (Loss) [link to IS]</t>
        </is>
      </c>
      <c r="G183" s="49">
        <f>G37</f>
        <v/>
      </c>
      <c r="H183" s="49">
        <f>H37</f>
        <v/>
      </c>
      <c r="I183" s="49">
        <f>I37</f>
        <v/>
      </c>
      <c r="J183" s="49">
        <f>J37</f>
        <v/>
      </c>
      <c r="K183" s="49">
        <f>K37</f>
        <v/>
      </c>
      <c r="L183" s="49">
        <f>L37</f>
        <v/>
      </c>
      <c r="M183" s="49">
        <f>M37</f>
        <v/>
      </c>
      <c r="N183" s="49">
        <f>N37</f>
        <v/>
      </c>
      <c r="O183" s="49">
        <f>O37</f>
        <v/>
      </c>
      <c r="P183" s="49">
        <f>P37</f>
        <v/>
      </c>
      <c r="Q183" s="49">
        <f>Q37</f>
        <v/>
      </c>
      <c r="R183" s="49">
        <f>R37</f>
        <v/>
      </c>
      <c r="S183" s="49">
        <f>S37</f>
        <v/>
      </c>
      <c r="T183" s="49">
        <f>T37</f>
        <v/>
      </c>
      <c r="U183" s="49">
        <f>U37</f>
        <v/>
      </c>
      <c r="V183" s="49">
        <f>V37</f>
        <v/>
      </c>
      <c r="X183" s="49">
        <f>X37</f>
        <v/>
      </c>
      <c r="Y183" s="49">
        <f>Y37</f>
        <v/>
      </c>
      <c r="Z183" s="49">
        <f>Z37</f>
        <v/>
      </c>
      <c r="AA183" s="35">
        <f>O183+P183+Q183+R183</f>
        <v/>
      </c>
      <c r="AB183" s="35">
        <f>S183+T183+U183+V183</f>
        <v/>
      </c>
      <c r="AC183" s="49">
        <f>AC37</f>
        <v/>
      </c>
      <c r="AD183" s="49">
        <f>AD37</f>
        <v/>
      </c>
      <c r="AE183" s="49">
        <f>AE37</f>
        <v/>
      </c>
    </row>
    <row r="184">
      <c r="D184" s="12" t="inlineStr">
        <is>
          <t>Depreciation &amp; Amortization (CF total)</t>
        </is>
      </c>
      <c r="G184" s="38" t="n">
        <v>6.117</v>
      </c>
      <c r="H184" s="38" t="n">
        <v>6.897</v>
      </c>
      <c r="I184" s="38" t="n">
        <v>7.122</v>
      </c>
      <c r="J184" s="38" t="n">
        <v>7.258</v>
      </c>
      <c r="K184" s="38" t="n">
        <v>7.411</v>
      </c>
      <c r="L184" s="38" t="n">
        <v>7.514</v>
      </c>
      <c r="M184" s="38" t="n">
        <v>7.817</v>
      </c>
      <c r="N184" s="38" t="n">
        <v>7.665</v>
      </c>
      <c r="O184" s="39">
        <f>-O22</f>
        <v/>
      </c>
      <c r="P184" s="39">
        <f>-P22</f>
        <v/>
      </c>
      <c r="Q184" s="39">
        <f>-Q22</f>
        <v/>
      </c>
      <c r="R184" s="39">
        <f>-R22</f>
        <v/>
      </c>
      <c r="S184" s="39">
        <f>-S22</f>
        <v/>
      </c>
      <c r="T184" s="39">
        <f>-T22</f>
        <v/>
      </c>
      <c r="U184" s="39">
        <f>-U22</f>
        <v/>
      </c>
      <c r="V184" s="39">
        <f>-V22</f>
        <v/>
      </c>
      <c r="X184" s="38" t="n">
        <v>12.937</v>
      </c>
      <c r="Y184" s="38" t="n">
        <v>25.37</v>
      </c>
      <c r="Z184" s="38" t="n">
        <v>30</v>
      </c>
      <c r="AA184" s="39">
        <f>O184+P184+Q184+R184</f>
        <v/>
      </c>
      <c r="AB184" s="39">
        <f>S184+T184+U184+V184</f>
        <v/>
      </c>
      <c r="AC184" s="39">
        <f>-AC22</f>
        <v/>
      </c>
      <c r="AD184" s="39">
        <f>-AD22</f>
        <v/>
      </c>
      <c r="AE184" s="39">
        <f>-AE22</f>
        <v/>
      </c>
    </row>
    <row r="185">
      <c r="D185" s="12" t="inlineStr">
        <is>
          <t>Non-Cash Lease Expense</t>
        </is>
      </c>
      <c r="G185" s="38" t="n">
        <v>1.309</v>
      </c>
      <c r="H185" s="38" t="n">
        <v>1.329</v>
      </c>
      <c r="I185" s="38" t="n">
        <v>1.589</v>
      </c>
      <c r="J185" s="38" t="n">
        <v>1.534</v>
      </c>
      <c r="K185" s="38" t="n">
        <v>1.524</v>
      </c>
      <c r="L185" s="38" t="n">
        <v>1.931</v>
      </c>
      <c r="M185" s="38" t="n">
        <v>2.223</v>
      </c>
      <c r="N185" s="38" t="n">
        <v>2.351</v>
      </c>
      <c r="O185" s="38" t="n">
        <v>0</v>
      </c>
      <c r="P185" s="38" t="n">
        <v>0</v>
      </c>
      <c r="Q185" s="38" t="n">
        <v>0</v>
      </c>
      <c r="R185" s="38" t="n">
        <v>0</v>
      </c>
      <c r="S185" s="38" t="n">
        <v>0</v>
      </c>
      <c r="T185" s="38" t="n">
        <v>0</v>
      </c>
      <c r="U185" s="38" t="n">
        <v>0</v>
      </c>
      <c r="V185" s="38" t="n">
        <v>0</v>
      </c>
      <c r="X185" s="38" t="n">
        <v>5.448</v>
      </c>
      <c r="Y185" s="38" t="n">
        <v>5.533</v>
      </c>
      <c r="Z185" s="38" t="n">
        <v>7.212</v>
      </c>
      <c r="AA185" s="39">
        <f>O185+P185+Q185+R185</f>
        <v/>
      </c>
      <c r="AB185" s="39">
        <f>S185+T185+U185+V185</f>
        <v/>
      </c>
      <c r="AC185" s="38" t="n">
        <v>0</v>
      </c>
      <c r="AD185" s="38" t="n">
        <v>0</v>
      </c>
      <c r="AE185" s="38" t="n">
        <v>0</v>
      </c>
    </row>
    <row r="186">
      <c r="D186" s="12" t="inlineStr">
        <is>
          <t>Stock-Based Compensation [KEY DRIVER]</t>
        </is>
      </c>
      <c r="G186" s="38" t="n">
        <v>6.419</v>
      </c>
      <c r="H186" s="38" t="n">
        <v>10.134</v>
      </c>
      <c r="I186" s="38" t="n">
        <v>8.117000000000001</v>
      </c>
      <c r="J186" s="38" t="n">
        <v>8.696</v>
      </c>
      <c r="K186" s="38" t="n">
        <v>910.147</v>
      </c>
      <c r="L186" s="38" t="n">
        <v>84.755</v>
      </c>
      <c r="M186" s="38" t="n">
        <v>67.3</v>
      </c>
      <c r="N186" s="38" t="n">
        <v>60.652</v>
      </c>
      <c r="O186" s="39">
        <f>O177*O10</f>
        <v/>
      </c>
      <c r="P186" s="39">
        <f>P177*P10</f>
        <v/>
      </c>
      <c r="Q186" s="39">
        <f>Q177*Q10</f>
        <v/>
      </c>
      <c r="R186" s="39">
        <f>R177*R10</f>
        <v/>
      </c>
      <c r="S186" s="39">
        <f>S177*S10</f>
        <v/>
      </c>
      <c r="T186" s="39">
        <f>T177*T10</f>
        <v/>
      </c>
      <c r="U186" s="39">
        <f>U177*U10</f>
        <v/>
      </c>
      <c r="V186" s="39">
        <f>V177*V10</f>
        <v/>
      </c>
      <c r="X186" s="38" t="n">
        <v>26.035</v>
      </c>
      <c r="Y186" s="38" t="n">
        <v>29.845</v>
      </c>
      <c r="Z186" s="38" t="n">
        <v>1070.898</v>
      </c>
      <c r="AA186" s="39">
        <f>O186+P186+Q186+R186</f>
        <v/>
      </c>
      <c r="AB186" s="39">
        <f>S186+T186+U186+V186</f>
        <v/>
      </c>
      <c r="AC186" s="39">
        <f>AC177*AC10</f>
        <v/>
      </c>
      <c r="AD186" s="39">
        <f>AD177*AD10</f>
        <v/>
      </c>
      <c r="AE186" s="39">
        <f>AE177*AE10</f>
        <v/>
      </c>
    </row>
    <row r="187">
      <c r="D187" s="12" t="inlineStr">
        <is>
          <t>SBC — Charitable Contribution (one-time Q2 25)</t>
        </is>
      </c>
      <c r="G187" s="38" t="n">
        <v>0</v>
      </c>
      <c r="H187" s="38" t="n">
        <v>0</v>
      </c>
      <c r="I187" s="38" t="n">
        <v>0</v>
      </c>
      <c r="J187" s="38" t="n">
        <v>0</v>
      </c>
      <c r="K187" s="38" t="n">
        <v>11.168</v>
      </c>
      <c r="L187" s="38" t="n">
        <v>0</v>
      </c>
      <c r="M187" s="38" t="n">
        <v>0</v>
      </c>
      <c r="N187" s="38" t="n">
        <v>0</v>
      </c>
      <c r="O187" s="38" t="n">
        <v>0</v>
      </c>
      <c r="P187" s="38" t="n">
        <v>0</v>
      </c>
      <c r="Q187" s="38" t="n">
        <v>0</v>
      </c>
      <c r="R187" s="38" t="n">
        <v>0</v>
      </c>
      <c r="S187" s="38" t="n">
        <v>0</v>
      </c>
      <c r="T187" s="38" t="n">
        <v>0</v>
      </c>
      <c r="U187" s="38" t="n">
        <v>0</v>
      </c>
      <c r="V187" s="38" t="n">
        <v>0</v>
      </c>
      <c r="X187" s="38" t="n">
        <v>0</v>
      </c>
      <c r="Y187" s="38" t="n">
        <v>0</v>
      </c>
      <c r="Z187" s="38" t="n">
        <v>11.168</v>
      </c>
      <c r="AA187" s="39">
        <f>O187+P187+Q187+R187</f>
        <v/>
      </c>
      <c r="AB187" s="39">
        <f>S187+T187+U187+V187</f>
        <v/>
      </c>
      <c r="AC187" s="38" t="n">
        <v>0</v>
      </c>
      <c r="AD187" s="38" t="n">
        <v>0</v>
      </c>
      <c r="AE187" s="38" t="n">
        <v>0</v>
      </c>
    </row>
    <row r="188">
      <c r="D188" s="12" t="inlineStr">
        <is>
          <t>Provision for Transaction Dispute Losses</t>
        </is>
      </c>
      <c r="G188" s="38" t="n">
        <v>10.492</v>
      </c>
      <c r="H188" s="38" t="n">
        <v>11.331</v>
      </c>
      <c r="I188" s="38" t="n">
        <v>15.158</v>
      </c>
      <c r="J188" s="38" t="n">
        <v>17.971</v>
      </c>
      <c r="K188" s="38" t="n">
        <v>13.074</v>
      </c>
      <c r="L188" s="38" t="n">
        <v>17.003</v>
      </c>
      <c r="M188" s="38" t="n">
        <v>15.513</v>
      </c>
      <c r="N188" s="38" t="n">
        <v>22.327</v>
      </c>
      <c r="O188" s="38" t="n">
        <v>0</v>
      </c>
      <c r="P188" s="38" t="n">
        <v>0</v>
      </c>
      <c r="Q188" s="38" t="n">
        <v>0</v>
      </c>
      <c r="R188" s="38" t="n">
        <v>0</v>
      </c>
      <c r="S188" s="38" t="n">
        <v>0</v>
      </c>
      <c r="T188" s="38" t="n">
        <v>0</v>
      </c>
      <c r="U188" s="38" t="n">
        <v>0</v>
      </c>
      <c r="V188" s="38" t="n">
        <v>0</v>
      </c>
      <c r="X188" s="38" t="n">
        <v>67.379</v>
      </c>
      <c r="Y188" s="38" t="n">
        <v>50.614</v>
      </c>
      <c r="Z188" s="38" t="n">
        <v>63.561</v>
      </c>
      <c r="AA188" s="39">
        <f>O188+P188+Q188+R188</f>
        <v/>
      </c>
      <c r="AB188" s="39">
        <f>S188+T188+U188+V188</f>
        <v/>
      </c>
      <c r="AC188" s="38" t="n">
        <v>0</v>
      </c>
      <c r="AD188" s="38" t="n">
        <v>0</v>
      </c>
      <c r="AE188" s="38" t="n">
        <v>0</v>
      </c>
    </row>
    <row r="189">
      <c r="D189" s="12" t="inlineStr">
        <is>
          <t>Change in FV of Product Obligation</t>
        </is>
      </c>
      <c r="G189" s="38" t="n">
        <v>16.423</v>
      </c>
      <c r="H189" s="38" t="n">
        <v>9.875</v>
      </c>
      <c r="I189" s="38" t="n">
        <v>18.464</v>
      </c>
      <c r="J189" s="38" t="n">
        <v>28.751</v>
      </c>
      <c r="K189" s="38" t="n">
        <v>14.828</v>
      </c>
      <c r="L189" s="38" t="n">
        <v>-2.004</v>
      </c>
      <c r="M189" s="38" t="n">
        <v>0.179</v>
      </c>
      <c r="N189" s="38" t="n">
        <v>-26.547</v>
      </c>
      <c r="O189" s="38" t="n">
        <v>0</v>
      </c>
      <c r="P189" s="38" t="n">
        <v>0</v>
      </c>
      <c r="Q189" s="38" t="n">
        <v>0</v>
      </c>
      <c r="R189" s="38" t="n">
        <v>0</v>
      </c>
      <c r="S189" s="38" t="n">
        <v>0</v>
      </c>
      <c r="T189" s="38" t="n">
        <v>0</v>
      </c>
      <c r="U189" s="38" t="n">
        <v>0</v>
      </c>
      <c r="V189" s="38" t="n">
        <v>0</v>
      </c>
      <c r="X189" s="38" t="n">
        <v>84.996</v>
      </c>
      <c r="Y189" s="38" t="n">
        <v>59.354</v>
      </c>
      <c r="Z189" s="38" t="n">
        <v>41.754</v>
      </c>
      <c r="AA189" s="39">
        <f>O189+P189+Q189+R189</f>
        <v/>
      </c>
      <c r="AB189" s="39">
        <f>S189+T189+U189+V189</f>
        <v/>
      </c>
      <c r="AC189" s="38" t="n">
        <v>0</v>
      </c>
      <c r="AD189" s="38" t="n">
        <v>0</v>
      </c>
      <c r="AE189" s="38" t="n">
        <v>0</v>
      </c>
    </row>
    <row r="190">
      <c r="D190" s="12" t="inlineStr">
        <is>
          <t>Provision for Credit Losses</t>
        </is>
      </c>
      <c r="G190" s="38" t="n">
        <v>1.607</v>
      </c>
      <c r="H190" s="38" t="n">
        <v>10.168</v>
      </c>
      <c r="I190" s="38" t="n">
        <v>21.495</v>
      </c>
      <c r="J190" s="38" t="n">
        <v>23.549</v>
      </c>
      <c r="K190" s="38" t="n">
        <v>20.547</v>
      </c>
      <c r="L190" s="38" t="n">
        <v>18.17</v>
      </c>
      <c r="M190" s="38" t="n">
        <v>15.398</v>
      </c>
      <c r="N190" s="38" t="n">
        <v>14.534</v>
      </c>
      <c r="O190" s="38" t="n">
        <v>0</v>
      </c>
      <c r="P190" s="38" t="n">
        <v>0</v>
      </c>
      <c r="Q190" s="38" t="n">
        <v>0</v>
      </c>
      <c r="R190" s="38" t="n">
        <v>0</v>
      </c>
      <c r="S190" s="38" t="n">
        <v>0</v>
      </c>
      <c r="T190" s="38" t="n">
        <v>0</v>
      </c>
      <c r="U190" s="38" t="n">
        <v>0</v>
      </c>
      <c r="V190" s="38" t="n">
        <v>0</v>
      </c>
      <c r="X190" s="38" t="n">
        <v>0</v>
      </c>
      <c r="Y190" s="38" t="n">
        <v>33.531</v>
      </c>
      <c r="Z190" s="38" t="n">
        <v>77.664</v>
      </c>
      <c r="AA190" s="39">
        <f>O190+P190+Q190+R190</f>
        <v/>
      </c>
      <c r="AB190" s="39">
        <f>S190+T190+U190+V190</f>
        <v/>
      </c>
      <c r="AC190" s="38" t="n">
        <v>0</v>
      </c>
      <c r="AD190" s="38" t="n">
        <v>0</v>
      </c>
      <c r="AE190" s="38" t="n">
        <v>0</v>
      </c>
    </row>
    <row r="191">
      <c r="D191" s="12" t="inlineStr">
        <is>
          <t>Impairment</t>
        </is>
      </c>
      <c r="G191" s="38" t="n">
        <v>0</v>
      </c>
      <c r="H191" s="38" t="n">
        <v>1.098</v>
      </c>
      <c r="I191" s="38" t="n">
        <v>0.592</v>
      </c>
      <c r="J191" s="38" t="n">
        <v>0</v>
      </c>
      <c r="K191" s="38" t="n">
        <v>0</v>
      </c>
      <c r="L191" s="38" t="n">
        <v>0</v>
      </c>
      <c r="M191" s="38" t="n">
        <v>0</v>
      </c>
      <c r="N191" s="38" t="n">
        <v>0</v>
      </c>
      <c r="O191" s="38" t="n">
        <v>0</v>
      </c>
      <c r="P191" s="38" t="n">
        <v>0</v>
      </c>
      <c r="Q191" s="38" t="n">
        <v>0</v>
      </c>
      <c r="R191" s="38" t="n">
        <v>0</v>
      </c>
      <c r="S191" s="38" t="n">
        <v>0</v>
      </c>
      <c r="T191" s="38" t="n">
        <v>0</v>
      </c>
      <c r="U191" s="38" t="n">
        <v>0</v>
      </c>
      <c r="V191" s="38" t="n">
        <v>0</v>
      </c>
      <c r="X191" s="38" t="n">
        <v>0</v>
      </c>
      <c r="Y191" s="38" t="n">
        <v>1.901</v>
      </c>
      <c r="Z191" s="38" t="n">
        <v>0</v>
      </c>
      <c r="AA191" s="39">
        <f>O191+P191+Q191+R191</f>
        <v/>
      </c>
      <c r="AB191" s="39">
        <f>S191+T191+U191+V191</f>
        <v/>
      </c>
      <c r="AC191" s="38" t="n">
        <v>0</v>
      </c>
      <c r="AD191" s="38" t="n">
        <v>0</v>
      </c>
      <c r="AE191" s="38" t="n">
        <v>0</v>
      </c>
    </row>
    <row r="192">
      <c r="D192" s="12" t="inlineStr">
        <is>
          <t>Amortization of Premium on Marketable Securities</t>
        </is>
      </c>
      <c r="G192" s="38" t="n">
        <v>-3.48</v>
      </c>
      <c r="H192" s="38" t="n">
        <v>-2.622</v>
      </c>
      <c r="I192" s="38" t="n">
        <v>-2.025</v>
      </c>
      <c r="J192" s="38" t="n">
        <v>-1.627</v>
      </c>
      <c r="K192" s="38" t="n">
        <v>-0.738</v>
      </c>
      <c r="L192" s="38" t="n">
        <v>-1.645</v>
      </c>
      <c r="M192" s="38" t="n">
        <v>-1.12</v>
      </c>
      <c r="N192" s="38" t="n">
        <v>-0.162</v>
      </c>
      <c r="O192" s="38" t="n">
        <v>0</v>
      </c>
      <c r="P192" s="38" t="n">
        <v>0</v>
      </c>
      <c r="Q192" s="38" t="n">
        <v>0</v>
      </c>
      <c r="R192" s="38" t="n">
        <v>0</v>
      </c>
      <c r="S192" s="38" t="n">
        <v>0</v>
      </c>
      <c r="T192" s="38" t="n">
        <v>0</v>
      </c>
      <c r="U192" s="38" t="n">
        <v>0</v>
      </c>
      <c r="V192" s="38" t="n">
        <v>0</v>
      </c>
      <c r="X192" s="38" t="n">
        <v>-14.762</v>
      </c>
      <c r="Y192" s="38" t="n">
        <v>-12.531</v>
      </c>
      <c r="Z192" s="38" t="n">
        <v>-5.13</v>
      </c>
      <c r="AA192" s="39">
        <f>O192+P192+Q192+R192</f>
        <v/>
      </c>
      <c r="AB192" s="39">
        <f>S192+T192+U192+V192</f>
        <v/>
      </c>
      <c r="AC192" s="38" t="n">
        <v>0</v>
      </c>
      <c r="AD192" s="38" t="n">
        <v>0</v>
      </c>
      <c r="AE192" s="38" t="n">
        <v>0</v>
      </c>
    </row>
    <row r="193">
      <c r="D193" s="12" t="inlineStr">
        <is>
          <t>Other Non-Cash</t>
        </is>
      </c>
      <c r="G193" s="38" t="n">
        <v>0.216</v>
      </c>
      <c r="H193" s="38" t="n">
        <v>1.016</v>
      </c>
      <c r="I193" s="38" t="n">
        <v>-0.992</v>
      </c>
      <c r="J193" s="38" t="n">
        <v>0.441</v>
      </c>
      <c r="K193" s="38" t="n">
        <v>-0.233</v>
      </c>
      <c r="L193" s="38" t="n">
        <v>0.24</v>
      </c>
      <c r="M193" s="38" t="n">
        <v>-0.542</v>
      </c>
      <c r="N193" s="38" t="n">
        <v>0.965</v>
      </c>
      <c r="O193" s="38" t="n">
        <v>0</v>
      </c>
      <c r="P193" s="38" t="n">
        <v>0</v>
      </c>
      <c r="Q193" s="38" t="n">
        <v>0</v>
      </c>
      <c r="R193" s="38" t="n">
        <v>0</v>
      </c>
      <c r="S193" s="38" t="n">
        <v>0</v>
      </c>
      <c r="T193" s="38" t="n">
        <v>0</v>
      </c>
      <c r="U193" s="38" t="n">
        <v>0</v>
      </c>
      <c r="V193" s="38" t="n">
        <v>0</v>
      </c>
      <c r="X193" s="38" t="n">
        <v>1.302</v>
      </c>
      <c r="Y193" s="38" t="n">
        <v>0.097</v>
      </c>
      <c r="Z193" s="38" t="n">
        <v>-0.094</v>
      </c>
      <c r="AA193" s="39">
        <f>O193+P193+Q193+R193</f>
        <v/>
      </c>
      <c r="AB193" s="39">
        <f>S193+T193+U193+V193</f>
        <v/>
      </c>
      <c r="AC193" s="38" t="n">
        <v>0</v>
      </c>
      <c r="AD193" s="38" t="n">
        <v>0</v>
      </c>
      <c r="AE193" s="38" t="n">
        <v>0</v>
      </c>
    </row>
    <row r="194"/>
    <row r="195"/>
    <row r="196">
      <c r="D196" s="12" t="inlineStr">
        <is>
          <t>Δ Product Collateral</t>
        </is>
      </c>
      <c r="G196" s="34" t="n">
        <v>-47.926</v>
      </c>
      <c r="H196" s="34" t="n">
        <v>-9.287000000000001</v>
      </c>
      <c r="I196" s="34" t="n">
        <v>-8.752000000000001</v>
      </c>
      <c r="J196" s="34" t="n">
        <v>4.151</v>
      </c>
      <c r="K196" s="34" t="n">
        <v>-35.411</v>
      </c>
      <c r="L196" s="34" t="n">
        <v>-15.972</v>
      </c>
      <c r="M196" s="34" t="n">
        <v>-22.249</v>
      </c>
      <c r="N196" s="34" t="n">
        <v>19.727</v>
      </c>
      <c r="O196" s="35">
        <f>-(O100-N100)</f>
        <v/>
      </c>
      <c r="P196" s="35">
        <f>-(P100-O100)</f>
        <v/>
      </c>
      <c r="Q196" s="35">
        <f>-(Q100-P100)</f>
        <v/>
      </c>
      <c r="R196" s="35">
        <f>-(R100-Q100)</f>
        <v/>
      </c>
      <c r="S196" s="35">
        <f>-(S100-R100)</f>
        <v/>
      </c>
      <c r="T196" s="35">
        <f>-(T100-S100)</f>
        <v/>
      </c>
      <c r="U196" s="35">
        <f>-(U100-T100)</f>
        <v/>
      </c>
      <c r="V196" s="35">
        <f>-(V100-U100)</f>
        <v/>
      </c>
      <c r="X196" s="34" t="n">
        <v>-11.798</v>
      </c>
      <c r="Y196" s="34" t="n">
        <v>-43.019</v>
      </c>
      <c r="Z196" s="34" t="n">
        <v>-69.48099999999999</v>
      </c>
      <c r="AA196" s="35">
        <f>O196+P196+Q196+R196</f>
        <v/>
      </c>
      <c r="AB196" s="35">
        <f>S196+T196+U196+V196</f>
        <v/>
      </c>
      <c r="AC196" s="35">
        <f>-(AC100-AB100)</f>
        <v/>
      </c>
      <c r="AD196" s="35">
        <f>-(AD100-AC100)</f>
        <v/>
      </c>
      <c r="AE196" s="35">
        <f>-(AE100-AD100)</f>
        <v/>
      </c>
    </row>
    <row r="197">
      <c r="D197" s="12" t="inlineStr">
        <is>
          <t>Δ Accounts Receivable</t>
        </is>
      </c>
      <c r="G197" s="38" t="n">
        <v>19.996</v>
      </c>
      <c r="H197" s="38" t="n">
        <v>-24.643</v>
      </c>
      <c r="I197" s="38" t="n">
        <v>-23.69</v>
      </c>
      <c r="J197" s="38" t="n">
        <v>-26.155</v>
      </c>
      <c r="K197" s="38" t="n">
        <v>11.813</v>
      </c>
      <c r="L197" s="38" t="n">
        <v>-8.279999999999999</v>
      </c>
      <c r="M197" s="38" t="n">
        <v>-20.335</v>
      </c>
      <c r="N197" s="38" t="n">
        <v>-37.679</v>
      </c>
      <c r="O197" s="39">
        <f>-(O101-N101)</f>
        <v/>
      </c>
      <c r="P197" s="39">
        <f>-(P101-O101)</f>
        <v/>
      </c>
      <c r="Q197" s="39">
        <f>-(Q101-P101)</f>
        <v/>
      </c>
      <c r="R197" s="39">
        <f>-(R101-Q101)</f>
        <v/>
      </c>
      <c r="S197" s="39">
        <f>-(S101-R101)</f>
        <v/>
      </c>
      <c r="T197" s="39">
        <f>-(T101-S101)</f>
        <v/>
      </c>
      <c r="U197" s="39">
        <f>-(U101-T101)</f>
        <v/>
      </c>
      <c r="V197" s="39">
        <f>-(V101-U101)</f>
        <v/>
      </c>
      <c r="X197" s="38" t="n">
        <v>-53.344</v>
      </c>
      <c r="Y197" s="38" t="n">
        <v>-40.307</v>
      </c>
      <c r="Z197" s="38" t="n">
        <v>-42.957</v>
      </c>
      <c r="AA197" s="39">
        <f>O197+P197+Q197+R197</f>
        <v/>
      </c>
      <c r="AB197" s="39">
        <f>S197+T197+U197+V197</f>
        <v/>
      </c>
      <c r="AC197" s="39">
        <f>-(AC101-AB101)</f>
        <v/>
      </c>
      <c r="AD197" s="39">
        <f>-(AD101-AC101)</f>
        <v/>
      </c>
      <c r="AE197" s="39">
        <f>-(AE101-AD101)</f>
        <v/>
      </c>
    </row>
    <row r="198">
      <c r="D198" s="12" t="inlineStr">
        <is>
          <t>Δ Prepaid &amp; Other Assets</t>
        </is>
      </c>
      <c r="G198" s="38" t="n">
        <v>3.119</v>
      </c>
      <c r="H198" s="38" t="n">
        <v>-11.331</v>
      </c>
      <c r="I198" s="38" t="n">
        <v>-11.614</v>
      </c>
      <c r="J198" s="38" t="n">
        <v>-8.68</v>
      </c>
      <c r="K198" s="38" t="n">
        <v>7.248</v>
      </c>
      <c r="L198" s="38" t="n">
        <v>-6.349</v>
      </c>
      <c r="M198" s="38" t="n">
        <v>-15.843</v>
      </c>
      <c r="N198" s="38" t="n">
        <v>19.972</v>
      </c>
      <c r="O198" s="39">
        <f>-(O103-N103)</f>
        <v/>
      </c>
      <c r="P198" s="39">
        <f>-(P103-O103)</f>
        <v/>
      </c>
      <c r="Q198" s="39">
        <f>-(Q103-P103)</f>
        <v/>
      </c>
      <c r="R198" s="39">
        <f>-(R103-Q103)</f>
        <v/>
      </c>
      <c r="S198" s="39">
        <f>-(S103-R103)</f>
        <v/>
      </c>
      <c r="T198" s="39">
        <f>-(T103-S103)</f>
        <v/>
      </c>
      <c r="U198" s="39">
        <f>-(U103-T103)</f>
        <v/>
      </c>
      <c r="V198" s="39">
        <f>-(V103-U103)</f>
        <v/>
      </c>
      <c r="X198" s="38" t="n">
        <v>12.198</v>
      </c>
      <c r="Y198" s="38" t="n">
        <v>-24.115</v>
      </c>
      <c r="Z198" s="38" t="n">
        <v>-23.624</v>
      </c>
      <c r="AA198" s="39">
        <f>O198+P198+Q198+R198</f>
        <v/>
      </c>
      <c r="AB198" s="39">
        <f>S198+T198+U198+V198</f>
        <v/>
      </c>
      <c r="AC198" s="39">
        <f>-(AC103-AB103)</f>
        <v/>
      </c>
      <c r="AD198" s="39">
        <f>-(AD103-AC103)</f>
        <v/>
      </c>
      <c r="AE198" s="39">
        <f>-(AE103-AD103)</f>
        <v/>
      </c>
    </row>
    <row r="199">
      <c r="D199" s="12" t="inlineStr">
        <is>
          <t>Δ Accounts Payable</t>
        </is>
      </c>
      <c r="G199" s="38" t="n">
        <v>1.814</v>
      </c>
      <c r="H199" s="38" t="n">
        <v>11.124</v>
      </c>
      <c r="I199" s="38" t="n">
        <v>1.743</v>
      </c>
      <c r="J199" s="38" t="n">
        <v>1.768</v>
      </c>
      <c r="K199" s="38" t="n">
        <v>14.186</v>
      </c>
      <c r="L199" s="38" t="n">
        <v>-11.774</v>
      </c>
      <c r="M199" s="38" t="n">
        <v>-1.346</v>
      </c>
      <c r="N199" s="38" t="n">
        <v>-0.76</v>
      </c>
      <c r="O199" s="39">
        <f>O115-N115</f>
        <v/>
      </c>
      <c r="P199" s="39">
        <f>P115-O115</f>
        <v/>
      </c>
      <c r="Q199" s="39">
        <f>Q115-P115</f>
        <v/>
      </c>
      <c r="R199" s="39">
        <f>R115-Q115</f>
        <v/>
      </c>
      <c r="S199" s="39">
        <f>S115-R115</f>
        <v/>
      </c>
      <c r="T199" s="39">
        <f>T115-S115</f>
        <v/>
      </c>
      <c r="U199" s="39">
        <f>U115-T115</f>
        <v/>
      </c>
      <c r="V199" s="39">
        <f>V115-U115</f>
        <v/>
      </c>
      <c r="X199" s="38" t="n">
        <v>1.353</v>
      </c>
      <c r="Y199" s="38" t="n">
        <v>13.703</v>
      </c>
      <c r="Z199" s="38" t="n">
        <v>2.834</v>
      </c>
      <c r="AA199" s="39">
        <f>O199+P199+Q199+R199</f>
        <v/>
      </c>
      <c r="AB199" s="39">
        <f>S199+T199+U199+V199</f>
        <v/>
      </c>
      <c r="AC199" s="39">
        <f>AC115-AB115</f>
        <v/>
      </c>
      <c r="AD199" s="39">
        <f>AD115-AC115</f>
        <v/>
      </c>
      <c r="AE199" s="39">
        <f>AE115-AD115</f>
        <v/>
      </c>
    </row>
    <row r="200">
      <c r="D200" s="12" t="inlineStr">
        <is>
          <t>Δ Accrued &amp; Other Liabilities</t>
        </is>
      </c>
      <c r="G200" s="38" t="n">
        <v>-1.257</v>
      </c>
      <c r="H200" s="38" t="n">
        <v>-10.758</v>
      </c>
      <c r="I200" s="38" t="n">
        <v>13.8</v>
      </c>
      <c r="J200" s="38" t="n">
        <v>-73.95399999999999</v>
      </c>
      <c r="K200" s="38" t="n">
        <v>-19.337</v>
      </c>
      <c r="L200" s="38" t="n">
        <v>-4.673</v>
      </c>
      <c r="M200" s="38" t="n">
        <v>20.532</v>
      </c>
      <c r="N200" s="38" t="n">
        <v>-47.399</v>
      </c>
      <c r="O200" s="39">
        <f>O116-N116</f>
        <v/>
      </c>
      <c r="P200" s="39">
        <f>P116-O116</f>
        <v/>
      </c>
      <c r="Q200" s="39">
        <f>Q116-P116</f>
        <v/>
      </c>
      <c r="R200" s="39">
        <f>R116-Q116</f>
        <v/>
      </c>
      <c r="S200" s="39">
        <f>S116-R116</f>
        <v/>
      </c>
      <c r="T200" s="39">
        <f>T116-S116</f>
        <v/>
      </c>
      <c r="U200" s="39">
        <f>U116-T116</f>
        <v/>
      </c>
      <c r="V200" s="39">
        <f>V116-U116</f>
        <v/>
      </c>
      <c r="X200" s="38" t="n">
        <v>-11.301</v>
      </c>
      <c r="Y200" s="38" t="n">
        <v>33.552</v>
      </c>
      <c r="Z200" s="38" t="n">
        <v>-77.432</v>
      </c>
      <c r="AA200" s="39">
        <f>O200+P200+Q200+R200</f>
        <v/>
      </c>
      <c r="AB200" s="39">
        <f>S200+T200+U200+V200</f>
        <v/>
      </c>
      <c r="AC200" s="39">
        <f>AC116-AB116</f>
        <v/>
      </c>
      <c r="AD200" s="39">
        <f>AD116-AC116</f>
        <v/>
      </c>
      <c r="AE200" s="39">
        <f>AE116-AD116</f>
        <v/>
      </c>
    </row>
    <row r="201">
      <c r="D201" s="12" t="inlineStr">
        <is>
          <t>Δ Operating Lease Liabilities</t>
        </is>
      </c>
      <c r="G201" s="38" t="n">
        <v>-3.336</v>
      </c>
      <c r="H201" s="38" t="n">
        <v>-1.771</v>
      </c>
      <c r="I201" s="38" t="n">
        <v>-3.39</v>
      </c>
      <c r="J201" s="38" t="n">
        <v>-3.937</v>
      </c>
      <c r="K201" s="38" t="n">
        <v>-3.836</v>
      </c>
      <c r="L201" s="38" t="n">
        <v>-4.037</v>
      </c>
      <c r="M201" s="38" t="n">
        <v>-3.098</v>
      </c>
      <c r="N201" s="38" t="n">
        <v>-1.929</v>
      </c>
      <c r="O201" s="38" t="n">
        <v>0</v>
      </c>
      <c r="P201" s="38" t="n">
        <v>0</v>
      </c>
      <c r="Q201" s="38" t="n">
        <v>0</v>
      </c>
      <c r="R201" s="38" t="n">
        <v>0</v>
      </c>
      <c r="S201" s="38" t="n">
        <v>0</v>
      </c>
      <c r="T201" s="38" t="n">
        <v>0</v>
      </c>
      <c r="U201" s="38" t="n">
        <v>0</v>
      </c>
      <c r="V201" s="38" t="n">
        <v>0</v>
      </c>
      <c r="X201" s="38" t="n">
        <v>2.439</v>
      </c>
      <c r="Y201" s="38" t="n">
        <v>-10.467</v>
      </c>
      <c r="Z201" s="38" t="n">
        <v>-14.908</v>
      </c>
      <c r="AA201" s="39">
        <f>O201+P201+Q201+R201</f>
        <v/>
      </c>
      <c r="AB201" s="39">
        <f>S201+T201+U201+V201</f>
        <v/>
      </c>
      <c r="AC201" s="38" t="n">
        <v>0</v>
      </c>
      <c r="AD201" s="38" t="n">
        <v>0</v>
      </c>
      <c r="AE201" s="38" t="n">
        <v>0</v>
      </c>
    </row>
    <row r="202">
      <c r="D202" s="12" t="inlineStr">
        <is>
          <t>Settlements of the Product Obligation</t>
        </is>
      </c>
      <c r="G202" s="38" t="n">
        <v>-13.22</v>
      </c>
      <c r="H202" s="38" t="n">
        <v>-5.462</v>
      </c>
      <c r="I202" s="38" t="n">
        <v>0.22</v>
      </c>
      <c r="J202" s="38" t="n">
        <v>-18.456</v>
      </c>
      <c r="K202" s="38" t="n">
        <v>-0.521</v>
      </c>
      <c r="L202" s="38" t="n">
        <v>-2.673</v>
      </c>
      <c r="M202" s="38" t="n">
        <v>12.901</v>
      </c>
      <c r="N202" s="38" t="n">
        <v>0.306</v>
      </c>
      <c r="O202" s="39">
        <f>O117-N117</f>
        <v/>
      </c>
      <c r="P202" s="39">
        <f>P117-O117</f>
        <v/>
      </c>
      <c r="Q202" s="39">
        <f>Q117-P117</f>
        <v/>
      </c>
      <c r="R202" s="39">
        <f>R117-Q117</f>
        <v/>
      </c>
      <c r="S202" s="39">
        <f>S117-R117</f>
        <v/>
      </c>
      <c r="T202" s="39">
        <f>T117-S117</f>
        <v/>
      </c>
      <c r="U202" s="39">
        <f>U117-T117</f>
        <v/>
      </c>
      <c r="V202" s="39">
        <f>V117-U117</f>
        <v/>
      </c>
      <c r="X202" s="38" t="n">
        <v>-76.274</v>
      </c>
      <c r="Y202" s="38" t="n">
        <v>-33.577</v>
      </c>
      <c r="Z202" s="38" t="n">
        <v>-8.749000000000001</v>
      </c>
      <c r="AA202" s="39">
        <f>O202+P202+Q202+R202</f>
        <v/>
      </c>
      <c r="AB202" s="39">
        <f>S202+T202+U202+V202</f>
        <v/>
      </c>
      <c r="AC202" s="39">
        <f>AC117-AB117</f>
        <v/>
      </c>
      <c r="AD202" s="39">
        <f>AD117-AC117</f>
        <v/>
      </c>
      <c r="AE202" s="39">
        <f>AE117-AD117</f>
        <v/>
      </c>
    </row>
    <row r="203"/>
    <row r="204">
      <c r="A204" s="9" t="inlineStr">
        <is>
          <t>x</t>
        </is>
      </c>
      <c r="B204" s="10" t="inlineStr">
        <is>
          <t>Cash Flow from Operating Activities</t>
        </is>
      </c>
      <c r="G204" s="36">
        <f>SUM(G183:G202)</f>
        <v/>
      </c>
      <c r="H204" s="36">
        <f>SUM(H183:H202)</f>
        <v/>
      </c>
      <c r="I204" s="36">
        <f>SUM(I183:I202)</f>
        <v/>
      </c>
      <c r="J204" s="36">
        <f>SUM(J183:J202)</f>
        <v/>
      </c>
      <c r="K204" s="36">
        <f>SUM(K183:K202)</f>
        <v/>
      </c>
      <c r="L204" s="36">
        <f>SUM(L183:L202)</f>
        <v/>
      </c>
      <c r="M204" s="36">
        <f>SUM(M183:M202)</f>
        <v/>
      </c>
      <c r="N204" s="36">
        <f>SUM(N183:N202)</f>
        <v/>
      </c>
      <c r="O204" s="36">
        <f>SUM(O183:O202)</f>
        <v/>
      </c>
      <c r="P204" s="36">
        <f>SUM(P183:P202)</f>
        <v/>
      </c>
      <c r="Q204" s="36">
        <f>SUM(Q183:Q202)</f>
        <v/>
      </c>
      <c r="R204" s="36">
        <f>SUM(R183:R202)</f>
        <v/>
      </c>
      <c r="S204" s="36">
        <f>SUM(S183:S202)</f>
        <v/>
      </c>
      <c r="T204" s="36">
        <f>SUM(T183:T202)</f>
        <v/>
      </c>
      <c r="U204" s="36">
        <f>SUM(U183:U202)</f>
        <v/>
      </c>
      <c r="V204" s="36">
        <f>SUM(V183:V202)</f>
        <v/>
      </c>
      <c r="X204" s="36">
        <f>SUM(X183:X202)</f>
        <v/>
      </c>
      <c r="Y204" s="36">
        <f>SUM(Y183:Y202)</f>
        <v/>
      </c>
      <c r="Z204" s="36">
        <f>SUM(Z183:Z202)</f>
        <v/>
      </c>
      <c r="AA204" s="36">
        <f>O204+P204+Q204+R204</f>
        <v/>
      </c>
      <c r="AB204" s="36">
        <f>S204+T204+U204+V204</f>
        <v/>
      </c>
      <c r="AC204" s="36">
        <f>SUM(AC183:AC202)</f>
        <v/>
      </c>
      <c r="AD204" s="36">
        <f>SUM(AD183:AD202)</f>
        <v/>
      </c>
      <c r="AE204" s="36">
        <f>SUM(AE183:AE202)</f>
        <v/>
      </c>
    </row>
    <row r="205">
      <c r="D205" s="8" t="inlineStr">
        <is>
          <t>Reconciliation: variance vs. as-reported</t>
        </is>
      </c>
      <c r="G205" s="37">
        <f>G204-_reported!G30</f>
        <v/>
      </c>
      <c r="H205" s="37">
        <f>H204-_reported!H30</f>
        <v/>
      </c>
      <c r="I205" s="37">
        <f>I204-_reported!I30</f>
        <v/>
      </c>
      <c r="J205" s="37">
        <f>J204-_reported!J30</f>
        <v/>
      </c>
      <c r="K205" s="37">
        <f>K204-_reported!K30</f>
        <v/>
      </c>
      <c r="L205" s="37">
        <f>L204-_reported!L30</f>
        <v/>
      </c>
      <c r="M205" s="37">
        <f>M204-_reported!M30</f>
        <v/>
      </c>
      <c r="N205" s="37">
        <f>N204-_reported!N30</f>
        <v/>
      </c>
      <c r="X205" s="37">
        <f>X204-_reported!X30</f>
        <v/>
      </c>
      <c r="Y205" s="37">
        <f>Y204-_reported!Y30</f>
        <v/>
      </c>
      <c r="Z205" s="37">
        <f>Z204-_reported!Z30</f>
        <v/>
      </c>
    </row>
    <row r="206"/>
    <row r="207"/>
    <row r="208">
      <c r="D208" s="12" t="inlineStr">
        <is>
          <t>Purchase of Marketable Securities</t>
        </is>
      </c>
      <c r="G208" s="34" t="n">
        <v>-139.664</v>
      </c>
      <c r="H208" s="34" t="n">
        <v>-71.744</v>
      </c>
      <c r="I208" s="34" t="n">
        <v>-136.382</v>
      </c>
      <c r="J208" s="34" t="n">
        <v>-38.502</v>
      </c>
      <c r="K208" s="34" t="n">
        <v>-195.548</v>
      </c>
      <c r="L208" s="34" t="n">
        <v>-431.233</v>
      </c>
      <c r="M208" s="34" t="n">
        <v>-69.67700000000001</v>
      </c>
      <c r="N208" s="34" t="n">
        <v>0</v>
      </c>
      <c r="O208" s="34" t="n">
        <v>0</v>
      </c>
      <c r="P208" s="34" t="n">
        <v>0</v>
      </c>
      <c r="Q208" s="34" t="n">
        <v>0</v>
      </c>
      <c r="R208" s="34" t="n">
        <v>0</v>
      </c>
      <c r="S208" s="34" t="n">
        <v>0</v>
      </c>
      <c r="T208" s="34" t="n">
        <v>0</v>
      </c>
      <c r="U208" s="34" t="n">
        <v>0</v>
      </c>
      <c r="V208" s="34" t="n">
        <v>0</v>
      </c>
      <c r="X208" s="34" t="n">
        <v>-610.669</v>
      </c>
      <c r="Y208" s="34" t="n">
        <v>-497.578</v>
      </c>
      <c r="Z208" s="34" t="n">
        <v>-734.96</v>
      </c>
      <c r="AA208" s="35">
        <f>O208+P208+Q208+R208</f>
        <v/>
      </c>
      <c r="AB208" s="35">
        <f>S208+T208+U208+V208</f>
        <v/>
      </c>
      <c r="AC208" s="34" t="n">
        <v>0</v>
      </c>
      <c r="AD208" s="34" t="n">
        <v>0</v>
      </c>
      <c r="AE208" s="34" t="n">
        <v>0</v>
      </c>
    </row>
    <row r="209">
      <c r="D209" s="12" t="inlineStr">
        <is>
          <t>Proceeds from Sales of Marketable Securities</t>
        </is>
      </c>
      <c r="G209" s="38" t="n">
        <v>0</v>
      </c>
      <c r="H209" s="38" t="n">
        <v>10.399</v>
      </c>
      <c r="I209" s="38" t="n">
        <v>165.817</v>
      </c>
      <c r="J209" s="38" t="n">
        <v>0</v>
      </c>
      <c r="K209" s="38" t="n">
        <v>256.514</v>
      </c>
      <c r="L209" s="38" t="n">
        <v>0</v>
      </c>
      <c r="M209" s="38" t="n">
        <v>0</v>
      </c>
      <c r="N209" s="38" t="n">
        <v>0</v>
      </c>
      <c r="O209" s="38" t="n">
        <v>0</v>
      </c>
      <c r="P209" s="38" t="n">
        <v>0</v>
      </c>
      <c r="Q209" s="38" t="n">
        <v>0</v>
      </c>
      <c r="R209" s="38" t="n">
        <v>0</v>
      </c>
      <c r="S209" s="38" t="n">
        <v>0</v>
      </c>
      <c r="T209" s="38" t="n">
        <v>0</v>
      </c>
      <c r="U209" s="38" t="n">
        <v>0</v>
      </c>
      <c r="V209" s="38" t="n">
        <v>0</v>
      </c>
      <c r="X209" s="38" t="n">
        <v>0</v>
      </c>
      <c r="Y209" s="38" t="n">
        <v>193.201</v>
      </c>
      <c r="Z209" s="38" t="n">
        <v>256.514</v>
      </c>
      <c r="AA209" s="39">
        <f>O209+P209+Q209+R209</f>
        <v/>
      </c>
      <c r="AB209" s="39">
        <f>S209+T209+U209+V209</f>
        <v/>
      </c>
      <c r="AC209" s="38" t="n">
        <v>0</v>
      </c>
      <c r="AD209" s="38" t="n">
        <v>0</v>
      </c>
      <c r="AE209" s="38" t="n">
        <v>0</v>
      </c>
    </row>
    <row r="210">
      <c r="D210" s="12" t="inlineStr">
        <is>
          <t>Proceeds from Maturities of Marketable Securities</t>
        </is>
      </c>
      <c r="G210" s="38" t="n">
        <v>177.535</v>
      </c>
      <c r="H210" s="38" t="n">
        <v>129.343</v>
      </c>
      <c r="I210" s="38" t="n">
        <v>72.06999999999999</v>
      </c>
      <c r="J210" s="38" t="n">
        <v>72.20099999999999</v>
      </c>
      <c r="K210" s="38" t="n">
        <v>50.999</v>
      </c>
      <c r="L210" s="38" t="n">
        <v>24</v>
      </c>
      <c r="M210" s="38" t="n">
        <v>117.5</v>
      </c>
      <c r="N210" s="38" t="n">
        <v>182.3</v>
      </c>
      <c r="O210" s="38" t="n">
        <v>0</v>
      </c>
      <c r="P210" s="38" t="n">
        <v>0</v>
      </c>
      <c r="Q210" s="38" t="n">
        <v>0</v>
      </c>
      <c r="R210" s="38" t="n">
        <v>0</v>
      </c>
      <c r="S210" s="38" t="n">
        <v>0</v>
      </c>
      <c r="T210" s="38" t="n">
        <v>0</v>
      </c>
      <c r="U210" s="38" t="n">
        <v>0</v>
      </c>
      <c r="V210" s="38" t="n">
        <v>0</v>
      </c>
      <c r="X210" s="38" t="n">
        <v>805.496</v>
      </c>
      <c r="Y210" s="38" t="n">
        <v>508.288</v>
      </c>
      <c r="Z210" s="38" t="n">
        <v>264.7</v>
      </c>
      <c r="AA210" s="39">
        <f>O210+P210+Q210+R210</f>
        <v/>
      </c>
      <c r="AB210" s="39">
        <f>S210+T210+U210+V210</f>
        <v/>
      </c>
      <c r="AC210" s="38" t="n">
        <v>0</v>
      </c>
      <c r="AD210" s="38" t="n">
        <v>0</v>
      </c>
      <c r="AE210" s="38" t="n">
        <v>0</v>
      </c>
    </row>
    <row r="211">
      <c r="D211" s="12" t="inlineStr">
        <is>
          <t>Purchase of Loans Held for Investment</t>
        </is>
      </c>
      <c r="G211" s="38" t="n">
        <v>-54.732</v>
      </c>
      <c r="H211" s="38" t="n">
        <v>-680.482</v>
      </c>
      <c r="I211" s="38" t="n">
        <v>-1124.729</v>
      </c>
      <c r="J211" s="38" t="n">
        <v>-1139.723</v>
      </c>
      <c r="K211" s="38" t="n">
        <v>-1228.429</v>
      </c>
      <c r="L211" s="38" t="n">
        <v>-1248.754</v>
      </c>
      <c r="M211" s="38" t="n">
        <v>-1323.193</v>
      </c>
      <c r="N211" s="38" t="n">
        <v>-1296.434</v>
      </c>
      <c r="O211" s="39">
        <f>-(O102-N102)</f>
        <v/>
      </c>
      <c r="P211" s="39">
        <f>-(P102-O102)</f>
        <v/>
      </c>
      <c r="Q211" s="39">
        <f>-(Q102-P102)</f>
        <v/>
      </c>
      <c r="R211" s="39">
        <f>-(R102-Q102)</f>
        <v/>
      </c>
      <c r="S211" s="39">
        <f>-(S102-R102)</f>
        <v/>
      </c>
      <c r="T211" s="39">
        <f>-(T102-S102)</f>
        <v/>
      </c>
      <c r="U211" s="39">
        <f>-(U102-T102)</f>
        <v/>
      </c>
      <c r="V211" s="39">
        <f>-(V102-U102)</f>
        <v/>
      </c>
      <c r="X211" s="38" t="n">
        <v>0</v>
      </c>
      <c r="Y211" s="38" t="n">
        <v>-1859.943</v>
      </c>
      <c r="Z211" s="38" t="n">
        <v>-4940.099</v>
      </c>
      <c r="AA211" s="39">
        <f>O211+P211+Q211+R211</f>
        <v/>
      </c>
      <c r="AB211" s="39">
        <f>S211+T211+U211+V211</f>
        <v/>
      </c>
      <c r="AC211" s="39">
        <f>-(AC102-AB102)</f>
        <v/>
      </c>
      <c r="AD211" s="39">
        <f>-(AD102-AC102)</f>
        <v/>
      </c>
      <c r="AE211" s="39">
        <f>-(AE102-AD102)</f>
        <v/>
      </c>
    </row>
    <row r="212">
      <c r="D212" s="12" t="inlineStr">
        <is>
          <t>Repayments of Loans Held for Investment</t>
        </is>
      </c>
      <c r="G212" s="38" t="n">
        <v>30.618</v>
      </c>
      <c r="H212" s="38" t="n">
        <v>619.051</v>
      </c>
      <c r="I212" s="38" t="n">
        <v>1079.827</v>
      </c>
      <c r="J212" s="38" t="n">
        <v>1117.516</v>
      </c>
      <c r="K212" s="38" t="n">
        <v>1194.118</v>
      </c>
      <c r="L212" s="38" t="n">
        <v>1236.092</v>
      </c>
      <c r="M212" s="38" t="n">
        <v>1345.151</v>
      </c>
      <c r="N212" s="38" t="n">
        <v>1248.891</v>
      </c>
      <c r="O212" s="38" t="n">
        <v>0</v>
      </c>
      <c r="P212" s="38" t="n">
        <v>0</v>
      </c>
      <c r="Q212" s="38" t="n">
        <v>0</v>
      </c>
      <c r="R212" s="38" t="n">
        <v>0</v>
      </c>
      <c r="S212" s="38" t="n">
        <v>0</v>
      </c>
      <c r="T212" s="38" t="n">
        <v>0</v>
      </c>
      <c r="U212" s="38" t="n">
        <v>0</v>
      </c>
      <c r="V212" s="38" t="n">
        <v>0</v>
      </c>
      <c r="X212" s="38" t="n">
        <v>0</v>
      </c>
      <c r="Y212" s="38" t="n">
        <v>1729.496</v>
      </c>
      <c r="Z212" s="38" t="n">
        <v>4892.877</v>
      </c>
      <c r="AA212" s="39">
        <f>O212+P212+Q212+R212</f>
        <v/>
      </c>
      <c r="AB212" s="39">
        <f>S212+T212+U212+V212</f>
        <v/>
      </c>
      <c r="AC212" s="38" t="n">
        <v>0</v>
      </c>
      <c r="AD212" s="38" t="n">
        <v>0</v>
      </c>
      <c r="AE212" s="38" t="n">
        <v>0</v>
      </c>
    </row>
    <row r="213">
      <c r="D213" s="12" t="inlineStr">
        <is>
          <t>Purchase of PPE &amp; Software (Capex)</t>
        </is>
      </c>
      <c r="G213" s="38" t="n">
        <v>-0.106</v>
      </c>
      <c r="H213" s="38" t="n">
        <v>-3.1</v>
      </c>
      <c r="I213" s="38" t="n">
        <v>-1.578</v>
      </c>
      <c r="J213" s="38" t="n">
        <v>-1.593</v>
      </c>
      <c r="K213" s="38" t="n">
        <v>-2.038</v>
      </c>
      <c r="L213" s="38" t="n">
        <v>-2.057</v>
      </c>
      <c r="M213" s="38" t="n">
        <v>-14.199</v>
      </c>
      <c r="N213" s="38" t="n">
        <v>-6.621</v>
      </c>
      <c r="O213" s="39">
        <f>-0.5*O178*O10</f>
        <v/>
      </c>
      <c r="P213" s="39">
        <f>-0.5*P178*P10</f>
        <v/>
      </c>
      <c r="Q213" s="39">
        <f>-0.5*Q178*Q10</f>
        <v/>
      </c>
      <c r="R213" s="39">
        <f>-0.5*R178*R10</f>
        <v/>
      </c>
      <c r="S213" s="39">
        <f>-0.5*S178*S10</f>
        <v/>
      </c>
      <c r="T213" s="39">
        <f>-0.5*T178*T10</f>
        <v/>
      </c>
      <c r="U213" s="39">
        <f>-0.5*U178*U10</f>
        <v/>
      </c>
      <c r="V213" s="39">
        <f>-0.5*V178*V10</f>
        <v/>
      </c>
      <c r="X213" s="38" t="n">
        <v>-10.501</v>
      </c>
      <c r="Y213" s="38" t="n">
        <v>-4.812</v>
      </c>
      <c r="Z213" s="38" t="n">
        <v>-19.887</v>
      </c>
      <c r="AA213" s="39">
        <f>O213+P213+Q213+R213</f>
        <v/>
      </c>
      <c r="AB213" s="39">
        <f>S213+T213+U213+V213</f>
        <v/>
      </c>
      <c r="AC213" s="39">
        <f>-0.5*AC178*AC10</f>
        <v/>
      </c>
      <c r="AD213" s="39">
        <f>-0.5*AD178*AD10</f>
        <v/>
      </c>
      <c r="AE213" s="39">
        <f>-0.5*AE178*AE10</f>
        <v/>
      </c>
    </row>
    <row r="214">
      <c r="D214" s="12" t="inlineStr">
        <is>
          <t>Capitalization of Internal-Use Software</t>
        </is>
      </c>
      <c r="G214" s="38" t="n">
        <v>-2.134</v>
      </c>
      <c r="H214" s="38" t="n">
        <v>-3.079</v>
      </c>
      <c r="I214" s="38" t="n">
        <v>-2.28</v>
      </c>
      <c r="J214" s="38" t="n">
        <v>-3.198</v>
      </c>
      <c r="K214" s="38" t="n">
        <v>-3.191</v>
      </c>
      <c r="L214" s="38" t="n">
        <v>-1.657</v>
      </c>
      <c r="M214" s="38" t="n">
        <v>-0.787</v>
      </c>
      <c r="N214" s="38" t="n">
        <v>-0.831</v>
      </c>
      <c r="O214" s="39">
        <f>-0.5*O178*O10</f>
        <v/>
      </c>
      <c r="P214" s="39">
        <f>-0.5*P178*P10</f>
        <v/>
      </c>
      <c r="Q214" s="39">
        <f>-0.5*Q178*Q10</f>
        <v/>
      </c>
      <c r="R214" s="39">
        <f>-0.5*R178*R10</f>
        <v/>
      </c>
      <c r="S214" s="39">
        <f>-0.5*S178*S10</f>
        <v/>
      </c>
      <c r="T214" s="39">
        <f>-0.5*T178*T10</f>
        <v/>
      </c>
      <c r="U214" s="39">
        <f>-0.5*U178*U10</f>
        <v/>
      </c>
      <c r="V214" s="39">
        <f>-0.5*V178*V10</f>
        <v/>
      </c>
      <c r="X214" s="38" t="n">
        <v>-17.314</v>
      </c>
      <c r="Y214" s="38" t="n">
        <v>-9.657</v>
      </c>
      <c r="Z214" s="38" t="n">
        <v>-8.833</v>
      </c>
      <c r="AA214" s="39">
        <f>O214+P214+Q214+R214</f>
        <v/>
      </c>
      <c r="AB214" s="39">
        <f>S214+T214+U214+V214</f>
        <v/>
      </c>
      <c r="AC214" s="39">
        <f>-0.5*AC178*AC10</f>
        <v/>
      </c>
      <c r="AD214" s="39">
        <f>-0.5*AD178*AD10</f>
        <v/>
      </c>
      <c r="AE214" s="39">
        <f>-0.5*AE178*AE10</f>
        <v/>
      </c>
    </row>
    <row r="215">
      <c r="D215" s="12" t="inlineStr">
        <is>
          <t>Acquisition of Business, net of cash</t>
        </is>
      </c>
      <c r="G215" s="38" t="n">
        <v>-11.036</v>
      </c>
      <c r="H215" s="38" t="n">
        <v>0</v>
      </c>
      <c r="I215" s="38" t="n">
        <v>-2.3</v>
      </c>
      <c r="J215" s="38" t="n">
        <v>0</v>
      </c>
      <c r="K215" s="38" t="n">
        <v>0</v>
      </c>
      <c r="L215" s="38" t="n">
        <v>0</v>
      </c>
      <c r="M215" s="38" t="n">
        <v>0</v>
      </c>
      <c r="N215" s="38" t="n">
        <v>0</v>
      </c>
      <c r="O215" s="38" t="n">
        <v>0</v>
      </c>
      <c r="P215" s="38" t="n">
        <v>0</v>
      </c>
      <c r="Q215" s="38" t="n">
        <v>0</v>
      </c>
      <c r="R215" s="38" t="n">
        <v>0</v>
      </c>
      <c r="S215" s="38" t="n">
        <v>0</v>
      </c>
      <c r="T215" s="38" t="n">
        <v>0</v>
      </c>
      <c r="U215" s="38" t="n">
        <v>0</v>
      </c>
      <c r="V215" s="38" t="n">
        <v>0</v>
      </c>
      <c r="X215" s="38" t="n">
        <v>0</v>
      </c>
      <c r="Y215" s="38" t="n">
        <v>-13.336</v>
      </c>
      <c r="Z215" s="38" t="n">
        <v>0</v>
      </c>
      <c r="AA215" s="39">
        <f>O215+P215+Q215+R215</f>
        <v/>
      </c>
      <c r="AB215" s="39">
        <f>S215+T215+U215+V215</f>
        <v/>
      </c>
      <c r="AC215" s="38" t="n">
        <v>0</v>
      </c>
      <c r="AD215" s="38" t="n">
        <v>0</v>
      </c>
      <c r="AE215" s="38" t="n">
        <v>0</v>
      </c>
    </row>
    <row r="216"/>
    <row r="217">
      <c r="A217" s="9" t="inlineStr">
        <is>
          <t>x</t>
        </is>
      </c>
      <c r="B217" s="10" t="inlineStr">
        <is>
          <t>Cash Flow from Investing Activities</t>
        </is>
      </c>
      <c r="G217" s="36">
        <f>SUM(G208:G215)</f>
        <v/>
      </c>
      <c r="H217" s="36">
        <f>SUM(H208:H215)</f>
        <v/>
      </c>
      <c r="I217" s="36">
        <f>SUM(I208:I215)</f>
        <v/>
      </c>
      <c r="J217" s="36">
        <f>SUM(J208:J215)</f>
        <v/>
      </c>
      <c r="K217" s="36">
        <f>SUM(K208:K215)</f>
        <v/>
      </c>
      <c r="L217" s="36">
        <f>SUM(L208:L215)</f>
        <v/>
      </c>
      <c r="M217" s="36">
        <f>SUM(M208:M215)</f>
        <v/>
      </c>
      <c r="N217" s="36">
        <f>SUM(N208:N215)</f>
        <v/>
      </c>
      <c r="O217" s="36">
        <f>SUM(O208:O215)</f>
        <v/>
      </c>
      <c r="P217" s="36">
        <f>SUM(P208:P215)</f>
        <v/>
      </c>
      <c r="Q217" s="36">
        <f>SUM(Q208:Q215)</f>
        <v/>
      </c>
      <c r="R217" s="36">
        <f>SUM(R208:R215)</f>
        <v/>
      </c>
      <c r="S217" s="36">
        <f>SUM(S208:S215)</f>
        <v/>
      </c>
      <c r="T217" s="36">
        <f>SUM(T208:T215)</f>
        <v/>
      </c>
      <c r="U217" s="36">
        <f>SUM(U208:U215)</f>
        <v/>
      </c>
      <c r="V217" s="36">
        <f>SUM(V208:V215)</f>
        <v/>
      </c>
      <c r="X217" s="36">
        <f>SUM(X208:X215)</f>
        <v/>
      </c>
      <c r="Y217" s="36">
        <f>SUM(Y208:Y215)</f>
        <v/>
      </c>
      <c r="Z217" s="36">
        <f>SUM(Z208:Z215)</f>
        <v/>
      </c>
      <c r="AA217" s="36">
        <f>O217+P217+Q217+R217</f>
        <v/>
      </c>
      <c r="AB217" s="36">
        <f>S217+T217+U217+V217</f>
        <v/>
      </c>
      <c r="AC217" s="36">
        <f>SUM(AC208:AC215)</f>
        <v/>
      </c>
      <c r="AD217" s="36">
        <f>SUM(AD208:AD215)</f>
        <v/>
      </c>
      <c r="AE217" s="36">
        <f>SUM(AE208:AE215)</f>
        <v/>
      </c>
    </row>
    <row r="218">
      <c r="D218" s="8" t="inlineStr">
        <is>
          <t>Reconciliation: variance vs. as-reported</t>
        </is>
      </c>
      <c r="G218" s="37">
        <f>G217-_reported!G31</f>
        <v/>
      </c>
      <c r="H218" s="37">
        <f>H217-_reported!H31</f>
        <v/>
      </c>
      <c r="I218" s="37">
        <f>I217-_reported!I31</f>
        <v/>
      </c>
      <c r="J218" s="37">
        <f>J217-_reported!J31</f>
        <v/>
      </c>
      <c r="K218" s="37">
        <f>K217-_reported!K31</f>
        <v/>
      </c>
      <c r="L218" s="37">
        <f>L217-_reported!L31</f>
        <v/>
      </c>
      <c r="M218" s="37">
        <f>M217-_reported!M31</f>
        <v/>
      </c>
      <c r="N218" s="37">
        <f>N217-_reported!N31</f>
        <v/>
      </c>
      <c r="X218" s="37">
        <f>X217-_reported!X31</f>
        <v/>
      </c>
      <c r="Y218" s="37">
        <f>Y217-_reported!Y31</f>
        <v/>
      </c>
      <c r="Z218" s="37">
        <f>Z217-_reported!Z31</f>
        <v/>
      </c>
    </row>
    <row r="219"/>
    <row r="220"/>
    <row r="221">
      <c r="D221" s="12" t="inlineStr">
        <is>
          <t>Debt Issuance Costs</t>
        </is>
      </c>
      <c r="G221" s="34" t="n">
        <v>0</v>
      </c>
      <c r="H221" s="34" t="n">
        <v>0</v>
      </c>
      <c r="I221" s="34" t="n">
        <v>0</v>
      </c>
      <c r="J221" s="34" t="n">
        <v>-0.843</v>
      </c>
      <c r="K221" s="34" t="n">
        <v>-0.291</v>
      </c>
      <c r="L221" s="34" t="n">
        <v>0</v>
      </c>
      <c r="M221" s="34" t="n">
        <v>0</v>
      </c>
      <c r="N221" s="34" t="n">
        <v>0</v>
      </c>
      <c r="O221" s="34" t="n">
        <v>0</v>
      </c>
      <c r="P221" s="34" t="n">
        <v>0</v>
      </c>
      <c r="Q221" s="34" t="n">
        <v>0</v>
      </c>
      <c r="R221" s="34" t="n">
        <v>0</v>
      </c>
      <c r="S221" s="34" t="n">
        <v>0</v>
      </c>
      <c r="T221" s="34" t="n">
        <v>0</v>
      </c>
      <c r="U221" s="34" t="n">
        <v>0</v>
      </c>
      <c r="V221" s="34" t="n">
        <v>0</v>
      </c>
      <c r="X221" s="34" t="n">
        <v>-0.83</v>
      </c>
      <c r="Y221" s="34" t="n">
        <v>0</v>
      </c>
      <c r="Z221" s="34" t="n">
        <v>-1.134</v>
      </c>
      <c r="AA221" s="35">
        <f>O221+P221+Q221+R221</f>
        <v/>
      </c>
      <c r="AB221" s="35">
        <f>S221+T221+U221+V221</f>
        <v/>
      </c>
      <c r="AC221" s="34" t="n">
        <v>0</v>
      </c>
      <c r="AD221" s="34" t="n">
        <v>0</v>
      </c>
      <c r="AE221" s="34" t="n">
        <v>0</v>
      </c>
    </row>
    <row r="222">
      <c r="D222" s="12" t="inlineStr">
        <is>
          <t>Proceeds from IPO, net of costs</t>
        </is>
      </c>
      <c r="G222" s="38" t="n">
        <v>0</v>
      </c>
      <c r="H222" s="38" t="n">
        <v>0</v>
      </c>
      <c r="I222" s="38" t="n">
        <v>0</v>
      </c>
      <c r="J222" s="38" t="n">
        <v>0</v>
      </c>
      <c r="K222" s="38" t="n">
        <v>772.556</v>
      </c>
      <c r="L222" s="38" t="n">
        <v>-1.317</v>
      </c>
      <c r="M222" s="38" t="n">
        <v>-0.651</v>
      </c>
      <c r="N222" s="38" t="n">
        <v>0</v>
      </c>
      <c r="O222" s="38" t="n">
        <v>0</v>
      </c>
      <c r="P222" s="38" t="n">
        <v>0</v>
      </c>
      <c r="Q222" s="38" t="n">
        <v>0</v>
      </c>
      <c r="R222" s="38" t="n">
        <v>0</v>
      </c>
      <c r="S222" s="38" t="n">
        <v>0</v>
      </c>
      <c r="T222" s="38" t="n">
        <v>0</v>
      </c>
      <c r="U222" s="38" t="n">
        <v>0</v>
      </c>
      <c r="V222" s="38" t="n">
        <v>0</v>
      </c>
      <c r="X222" s="38" t="n">
        <v>0</v>
      </c>
      <c r="Y222" s="38" t="n">
        <v>0</v>
      </c>
      <c r="Z222" s="38" t="n">
        <v>770.588</v>
      </c>
      <c r="AA222" s="39">
        <f>O222+P222+Q222+R222</f>
        <v/>
      </c>
      <c r="AB222" s="39">
        <f>S222+T222+U222+V222</f>
        <v/>
      </c>
      <c r="AC222" s="38" t="n">
        <v>0</v>
      </c>
      <c r="AD222" s="38" t="n">
        <v>0</v>
      </c>
      <c r="AE222" s="38" t="n">
        <v>0</v>
      </c>
    </row>
    <row r="223">
      <c r="D223" s="12" t="inlineStr">
        <is>
          <t>Taxes Paid for Net Share Settlement of RSUs</t>
        </is>
      </c>
      <c r="G223" s="38" t="n">
        <v>0</v>
      </c>
      <c r="H223" s="38" t="n">
        <v>0</v>
      </c>
      <c r="I223" s="38" t="n">
        <v>0</v>
      </c>
      <c r="J223" s="38" t="n">
        <v>0</v>
      </c>
      <c r="K223" s="38" t="n">
        <v>-322.619</v>
      </c>
      <c r="L223" s="38" t="n">
        <v>-25.453</v>
      </c>
      <c r="M223" s="38" t="n">
        <v>-1.334</v>
      </c>
      <c r="N223" s="38" t="n">
        <v>-1.54</v>
      </c>
      <c r="O223" s="38" t="n">
        <v>0</v>
      </c>
      <c r="P223" s="38" t="n">
        <v>0</v>
      </c>
      <c r="Q223" s="38" t="n">
        <v>0</v>
      </c>
      <c r="R223" s="38" t="n">
        <v>0</v>
      </c>
      <c r="S223" s="38" t="n">
        <v>0</v>
      </c>
      <c r="T223" s="38" t="n">
        <v>0</v>
      </c>
      <c r="U223" s="38" t="n">
        <v>0</v>
      </c>
      <c r="V223" s="38" t="n">
        <v>0</v>
      </c>
      <c r="X223" s="38" t="n">
        <v>0</v>
      </c>
      <c r="Y223" s="38" t="n">
        <v>0</v>
      </c>
      <c r="Z223" s="38" t="n">
        <v>-349.406</v>
      </c>
      <c r="AA223" s="39">
        <f>O223+P223+Q223+R223</f>
        <v/>
      </c>
      <c r="AB223" s="39">
        <f>S223+T223+U223+V223</f>
        <v/>
      </c>
      <c r="AC223" s="38" t="n">
        <v>0</v>
      </c>
      <c r="AD223" s="38" t="n">
        <v>0</v>
      </c>
      <c r="AE223" s="38" t="n">
        <v>0</v>
      </c>
    </row>
    <row r="224">
      <c r="D224" s="12" t="inlineStr">
        <is>
          <t>Proceeds from Exercise of Stock Options</t>
        </is>
      </c>
      <c r="G224" s="38" t="n">
        <v>0.392</v>
      </c>
      <c r="H224" s="38" t="n">
        <v>0.307</v>
      </c>
      <c r="I224" s="38" t="n">
        <v>0.499</v>
      </c>
      <c r="J224" s="38" t="n">
        <v>0.717</v>
      </c>
      <c r="K224" s="38" t="n">
        <v>0.41</v>
      </c>
      <c r="L224" s="38" t="n">
        <v>9.798</v>
      </c>
      <c r="M224" s="38" t="n">
        <v>14.233</v>
      </c>
      <c r="N224" s="38" t="n">
        <v>13.923</v>
      </c>
      <c r="O224" s="38" t="n">
        <v>7</v>
      </c>
      <c r="P224" s="38" t="n">
        <v>7</v>
      </c>
      <c r="Q224" s="38" t="n">
        <v>7</v>
      </c>
      <c r="R224" s="38" t="n">
        <v>7</v>
      </c>
      <c r="S224" s="38" t="n">
        <v>7</v>
      </c>
      <c r="T224" s="38" t="n">
        <v>7</v>
      </c>
      <c r="U224" s="38" t="n">
        <v>7</v>
      </c>
      <c r="V224" s="38" t="n">
        <v>7</v>
      </c>
      <c r="X224" s="38" t="n">
        <v>1.733</v>
      </c>
      <c r="Y224" s="38" t="n">
        <v>1.406</v>
      </c>
      <c r="Z224" s="38" t="n">
        <v>25.158</v>
      </c>
      <c r="AA224" s="39">
        <f>O224+P224+Q224+R224</f>
        <v/>
      </c>
      <c r="AB224" s="39">
        <f>S224+T224+U224+V224</f>
        <v/>
      </c>
      <c r="AC224" s="38" t="n">
        <v>7</v>
      </c>
      <c r="AD224" s="38" t="n">
        <v>7</v>
      </c>
      <c r="AE224" s="38" t="n">
        <v>7</v>
      </c>
    </row>
    <row r="225">
      <c r="D225" s="12" t="inlineStr">
        <is>
          <t>Repurchases of Common Stock</t>
        </is>
      </c>
      <c r="G225" s="38" t="n">
        <v>-0.5639999999999999</v>
      </c>
      <c r="H225" s="38" t="n">
        <v>-0.357</v>
      </c>
      <c r="I225" s="38" t="n">
        <v>0</v>
      </c>
      <c r="J225" s="38" t="n">
        <v>0</v>
      </c>
      <c r="K225" s="38" t="n">
        <v>0</v>
      </c>
      <c r="L225" s="38" t="n">
        <v>0</v>
      </c>
      <c r="M225" s="38" t="n">
        <v>-77.538</v>
      </c>
      <c r="N225" s="38" t="n">
        <v>-85.73999999999999</v>
      </c>
      <c r="O225" s="38" t="n">
        <v>-25</v>
      </c>
      <c r="P225" s="38" t="n">
        <v>-25</v>
      </c>
      <c r="Q225" s="38" t="n">
        <v>-25</v>
      </c>
      <c r="R225" s="38" t="n">
        <v>-25</v>
      </c>
      <c r="S225" s="38" t="n">
        <v>-25</v>
      </c>
      <c r="T225" s="38" t="n">
        <v>-25</v>
      </c>
      <c r="U225" s="38" t="n">
        <v>-25</v>
      </c>
      <c r="V225" s="38" t="n">
        <v>-25</v>
      </c>
      <c r="X225" s="38" t="n">
        <v>-0.061</v>
      </c>
      <c r="Y225" s="38" t="n">
        <v>-0.95</v>
      </c>
      <c r="Z225" s="38" t="n">
        <v>-77.538</v>
      </c>
      <c r="AA225" s="39">
        <f>O225+P225+Q225+R225</f>
        <v/>
      </c>
      <c r="AB225" s="39">
        <f>S225+T225+U225+V225</f>
        <v/>
      </c>
      <c r="AC225" s="38" t="n">
        <v>-100</v>
      </c>
      <c r="AD225" s="38" t="n">
        <v>-100</v>
      </c>
      <c r="AE225" s="38" t="n">
        <v>-100</v>
      </c>
    </row>
    <row r="226"/>
    <row r="227">
      <c r="A227" s="9" t="inlineStr">
        <is>
          <t>x</t>
        </is>
      </c>
      <c r="B227" s="10" t="inlineStr">
        <is>
          <t>Cash Flow from Financing Activities</t>
        </is>
      </c>
      <c r="G227" s="36">
        <f>SUM(G221:G225)</f>
        <v/>
      </c>
      <c r="H227" s="36">
        <f>SUM(H221:H225)</f>
        <v/>
      </c>
      <c r="I227" s="36">
        <f>SUM(I221:I225)</f>
        <v/>
      </c>
      <c r="J227" s="36">
        <f>SUM(J221:J225)</f>
        <v/>
      </c>
      <c r="K227" s="36">
        <f>SUM(K221:K225)</f>
        <v/>
      </c>
      <c r="L227" s="36">
        <f>SUM(L221:L225)</f>
        <v/>
      </c>
      <c r="M227" s="36">
        <f>SUM(M221:M225)</f>
        <v/>
      </c>
      <c r="N227" s="36">
        <f>SUM(N221:N225)</f>
        <v/>
      </c>
      <c r="O227" s="36">
        <f>SUM(O221:O225)</f>
        <v/>
      </c>
      <c r="P227" s="36">
        <f>SUM(P221:P225)</f>
        <v/>
      </c>
      <c r="Q227" s="36">
        <f>SUM(Q221:Q225)</f>
        <v/>
      </c>
      <c r="R227" s="36">
        <f>SUM(R221:R225)</f>
        <v/>
      </c>
      <c r="S227" s="36">
        <f>SUM(S221:S225)</f>
        <v/>
      </c>
      <c r="T227" s="36">
        <f>SUM(T221:T225)</f>
        <v/>
      </c>
      <c r="U227" s="36">
        <f>SUM(U221:U225)</f>
        <v/>
      </c>
      <c r="V227" s="36">
        <f>SUM(V221:V225)</f>
        <v/>
      </c>
      <c r="X227" s="36">
        <f>SUM(X221:X225)</f>
        <v/>
      </c>
      <c r="Y227" s="36">
        <f>SUM(Y221:Y225)</f>
        <v/>
      </c>
      <c r="Z227" s="36">
        <f>SUM(Z221:Z225)</f>
        <v/>
      </c>
      <c r="AA227" s="36">
        <f>O227+P227+Q227+R227</f>
        <v/>
      </c>
      <c r="AB227" s="36">
        <f>S227+T227+U227+V227</f>
        <v/>
      </c>
      <c r="AC227" s="36">
        <f>SUM(AC221:AC225)</f>
        <v/>
      </c>
      <c r="AD227" s="36">
        <f>SUM(AD221:AD225)</f>
        <v/>
      </c>
      <c r="AE227" s="36">
        <f>SUM(AE221:AE225)</f>
        <v/>
      </c>
    </row>
    <row r="228">
      <c r="D228" s="8" t="inlineStr">
        <is>
          <t>Reconciliation: variance vs. as-reported</t>
        </is>
      </c>
      <c r="G228" s="37">
        <f>G227-_reported!G32</f>
        <v/>
      </c>
      <c r="H228" s="37">
        <f>H227-_reported!H32</f>
        <v/>
      </c>
      <c r="I228" s="37">
        <f>I227-_reported!I32</f>
        <v/>
      </c>
      <c r="J228" s="37">
        <f>J227-_reported!J32</f>
        <v/>
      </c>
      <c r="K228" s="37">
        <f>K227-_reported!K32</f>
        <v/>
      </c>
      <c r="L228" s="37">
        <f>L227-_reported!L32</f>
        <v/>
      </c>
      <c r="M228" s="37">
        <f>M227-_reported!M32</f>
        <v/>
      </c>
      <c r="N228" s="37">
        <f>N227-_reported!N32</f>
        <v/>
      </c>
      <c r="X228" s="37">
        <f>X227-_reported!X32</f>
        <v/>
      </c>
      <c r="Y228" s="37">
        <f>Y227-_reported!Y32</f>
        <v/>
      </c>
      <c r="Z228" s="37">
        <f>Z227-_reported!Z32</f>
        <v/>
      </c>
    </row>
    <row r="229"/>
    <row r="230"/>
    <row r="231">
      <c r="A231" s="9" t="inlineStr">
        <is>
          <t>x</t>
        </is>
      </c>
      <c r="B231" s="10" t="inlineStr">
        <is>
          <t>Net Change in Cash &amp; Equivalents</t>
        </is>
      </c>
      <c r="G231" s="36">
        <f>G204+G217+G227</f>
        <v/>
      </c>
      <c r="H231" s="36">
        <f>H204+H217+H227</f>
        <v/>
      </c>
      <c r="I231" s="36">
        <f>I204+I217+I227</f>
        <v/>
      </c>
      <c r="J231" s="36">
        <f>J204+J217+J227</f>
        <v/>
      </c>
      <c r="K231" s="36">
        <f>K204+K217+K227</f>
        <v/>
      </c>
      <c r="L231" s="36">
        <f>L204+L217+L227</f>
        <v/>
      </c>
      <c r="M231" s="36">
        <f>M204+M217+M227</f>
        <v/>
      </c>
      <c r="N231" s="36">
        <f>N204+N217+N227</f>
        <v/>
      </c>
      <c r="O231" s="36">
        <f>O204+O217+O227</f>
        <v/>
      </c>
      <c r="P231" s="36">
        <f>P204+P217+P227</f>
        <v/>
      </c>
      <c r="Q231" s="36">
        <f>Q204+Q217+Q227</f>
        <v/>
      </c>
      <c r="R231" s="36">
        <f>R204+R217+R227</f>
        <v/>
      </c>
      <c r="S231" s="36">
        <f>S204+S217+S227</f>
        <v/>
      </c>
      <c r="T231" s="36">
        <f>T204+T217+T227</f>
        <v/>
      </c>
      <c r="U231" s="36">
        <f>U204+U217+U227</f>
        <v/>
      </c>
      <c r="V231" s="36">
        <f>V204+V217+V227</f>
        <v/>
      </c>
      <c r="X231" s="36">
        <f>X204+X217+X227</f>
        <v/>
      </c>
      <c r="Y231" s="36">
        <f>Y204+Y217+Y227</f>
        <v/>
      </c>
      <c r="Z231" s="36">
        <f>Z204+Z217+Z227</f>
        <v/>
      </c>
      <c r="AA231" s="36">
        <f>O231+P231+Q231+R231</f>
        <v/>
      </c>
      <c r="AB231" s="36">
        <f>S231+T231+U231+V231</f>
        <v/>
      </c>
      <c r="AC231" s="36">
        <f>AC204+AC217+AC227</f>
        <v/>
      </c>
      <c r="AD231" s="36">
        <f>AD204+AD217+AD227</f>
        <v/>
      </c>
      <c r="AE231" s="36">
        <f>AE204+AE217+AE227</f>
        <v/>
      </c>
    </row>
    <row r="232">
      <c r="D232" s="8" t="inlineStr">
        <is>
          <t>Reconciliation: variance vs. as-reported</t>
        </is>
      </c>
      <c r="G232" s="37">
        <f>G231-_reported!G33</f>
        <v/>
      </c>
      <c r="H232" s="37">
        <f>H231-_reported!H33</f>
        <v/>
      </c>
      <c r="I232" s="37">
        <f>I231-_reported!I33</f>
        <v/>
      </c>
      <c r="J232" s="37">
        <f>J231-_reported!J33</f>
        <v/>
      </c>
      <c r="K232" s="37">
        <f>K231-_reported!K33</f>
        <v/>
      </c>
      <c r="L232" s="37">
        <f>L231-_reported!L33</f>
        <v/>
      </c>
      <c r="M232" s="37">
        <f>M231-_reported!M33</f>
        <v/>
      </c>
      <c r="N232" s="37">
        <f>N231-_reported!N33</f>
        <v/>
      </c>
      <c r="X232" s="37">
        <f>X231-_reported!X33</f>
        <v/>
      </c>
      <c r="Y232" s="37">
        <f>Y231-_reported!Y33</f>
        <v/>
      </c>
      <c r="Z232" s="37">
        <f>Z231-_reported!Z33</f>
        <v/>
      </c>
    </row>
    <row r="233"/>
    <row r="234">
      <c r="D234" s="12" t="inlineStr">
        <is>
          <t>Cash, Beginning of Period</t>
        </is>
      </c>
      <c r="G234" s="34" t="n">
        <v>306.428</v>
      </c>
      <c r="H234" s="34" t="n">
        <v>305.415</v>
      </c>
      <c r="I234" s="34" t="n">
        <v>280.825</v>
      </c>
      <c r="J234" s="34" t="n">
        <v>350</v>
      </c>
      <c r="K234" s="34" t="n">
        <v>330.824</v>
      </c>
      <c r="L234" s="34" t="n">
        <v>881.799</v>
      </c>
      <c r="M234" s="34" t="n">
        <v>458.702</v>
      </c>
      <c r="N234" s="34" t="n">
        <v>480.76</v>
      </c>
      <c r="O234" s="35">
        <f>N235</f>
        <v/>
      </c>
      <c r="P234" s="35">
        <f>O235</f>
        <v/>
      </c>
      <c r="Q234" s="35">
        <f>P235</f>
        <v/>
      </c>
      <c r="R234" s="35">
        <f>Q235</f>
        <v/>
      </c>
      <c r="S234" s="35">
        <f>R235</f>
        <v/>
      </c>
      <c r="T234" s="35">
        <f>S235</f>
        <v/>
      </c>
      <c r="U234" s="35">
        <f>T235</f>
        <v/>
      </c>
      <c r="V234" s="35">
        <f>U235</f>
        <v/>
      </c>
      <c r="X234" s="34" t="n">
        <v>228.485</v>
      </c>
      <c r="Y234" s="34" t="n">
        <v>239.745</v>
      </c>
      <c r="Z234" s="34" t="n">
        <v>350</v>
      </c>
      <c r="AA234" s="35">
        <f>O234</f>
        <v/>
      </c>
      <c r="AB234" s="35">
        <f>S234</f>
        <v/>
      </c>
      <c r="AC234" s="35">
        <f>AB235</f>
        <v/>
      </c>
      <c r="AD234" s="35">
        <f>AC235</f>
        <v/>
      </c>
      <c r="AE234" s="35">
        <f>AD235</f>
        <v/>
      </c>
    </row>
    <row r="235">
      <c r="A235" s="9" t="inlineStr">
        <is>
          <t>x</t>
        </is>
      </c>
      <c r="B235" s="10" t="inlineStr">
        <is>
          <t>Cash, End of Period</t>
        </is>
      </c>
      <c r="G235" s="36">
        <f>G234+G231</f>
        <v/>
      </c>
      <c r="H235" s="36">
        <f>H234+H231</f>
        <v/>
      </c>
      <c r="I235" s="36">
        <f>I234+I231</f>
        <v/>
      </c>
      <c r="J235" s="36">
        <f>J234+J231</f>
        <v/>
      </c>
      <c r="K235" s="36">
        <f>K234+K231</f>
        <v/>
      </c>
      <c r="L235" s="36">
        <f>L234+L231</f>
        <v/>
      </c>
      <c r="M235" s="36">
        <f>M234+M231</f>
        <v/>
      </c>
      <c r="N235" s="36">
        <f>N234+N231</f>
        <v/>
      </c>
      <c r="O235" s="36">
        <f>O234+O231</f>
        <v/>
      </c>
      <c r="P235" s="36">
        <f>P234+P231</f>
        <v/>
      </c>
      <c r="Q235" s="36">
        <f>Q234+Q231</f>
        <v/>
      </c>
      <c r="R235" s="36">
        <f>R234+R231</f>
        <v/>
      </c>
      <c r="S235" s="36">
        <f>S234+S231</f>
        <v/>
      </c>
      <c r="T235" s="36">
        <f>T234+T231</f>
        <v/>
      </c>
      <c r="U235" s="36">
        <f>U234+U231</f>
        <v/>
      </c>
      <c r="V235" s="36">
        <f>V234+V231</f>
        <v/>
      </c>
      <c r="X235" s="36">
        <f>X234+X231</f>
        <v/>
      </c>
      <c r="Y235" s="36">
        <f>Y234+Y231</f>
        <v/>
      </c>
      <c r="Z235" s="36">
        <f>Z234+Z231</f>
        <v/>
      </c>
      <c r="AA235" s="36">
        <f>R235</f>
        <v/>
      </c>
      <c r="AB235" s="36">
        <f>V235</f>
        <v/>
      </c>
      <c r="AC235" s="36">
        <f>AC234+AC231</f>
        <v/>
      </c>
      <c r="AD235" s="36">
        <f>AD234+AD231</f>
        <v/>
      </c>
      <c r="AE235" s="36">
        <f>AE234+AE231</f>
        <v/>
      </c>
    </row>
    <row r="236">
      <c r="D236" s="8" t="inlineStr">
        <is>
          <t>Tie-out: Cash End vs BS (Cash + Restricted) (must = 0)</t>
        </is>
      </c>
      <c r="G236" s="37">
        <f>G235-(G97+G98)</f>
        <v/>
      </c>
      <c r="H236" s="37">
        <f>H235-(H97+H98)</f>
        <v/>
      </c>
      <c r="I236" s="37">
        <f>I235-(I97+I98)</f>
        <v/>
      </c>
      <c r="J236" s="37">
        <f>J235-(J97+J98)</f>
        <v/>
      </c>
      <c r="K236" s="37">
        <f>K235-(K97+K98)</f>
        <v/>
      </c>
      <c r="L236" s="37">
        <f>L235-(L97+L98)</f>
        <v/>
      </c>
      <c r="M236" s="37">
        <f>M235-(M97+M98)</f>
        <v/>
      </c>
      <c r="N236" s="37">
        <f>N235-(N97+N98)</f>
        <v/>
      </c>
      <c r="O236" s="37">
        <f>O235-(O97+O98)</f>
        <v/>
      </c>
      <c r="P236" s="37">
        <f>P235-(P97+P98)</f>
        <v/>
      </c>
      <c r="Q236" s="37">
        <f>Q235-(Q97+Q98)</f>
        <v/>
      </c>
      <c r="R236" s="37">
        <f>R235-(R97+R98)</f>
        <v/>
      </c>
      <c r="S236" s="37">
        <f>S235-(S97+S98)</f>
        <v/>
      </c>
      <c r="T236" s="37">
        <f>T235-(T97+T98)</f>
        <v/>
      </c>
      <c r="U236" s="37">
        <f>U235-(U97+U98)</f>
        <v/>
      </c>
      <c r="V236" s="37">
        <f>V235-(V97+V98)</f>
        <v/>
      </c>
      <c r="X236" s="37">
        <f>X235-(X97+X98)</f>
        <v/>
      </c>
      <c r="Y236" s="37">
        <f>Y235-(Y97+Y98)</f>
        <v/>
      </c>
      <c r="Z236" s="37">
        <f>Z235-(Z97+Z98)</f>
        <v/>
      </c>
      <c r="AA236" s="37">
        <f>AA235-(AA97+AA98)</f>
        <v/>
      </c>
      <c r="AB236" s="37">
        <f>AB235-(AB97+AB98)</f>
        <v/>
      </c>
      <c r="AC236" s="37">
        <f>AC235-(AC97+AC98)</f>
        <v/>
      </c>
      <c r="AD236" s="37">
        <f>AD235-(AD97+AD98)</f>
        <v/>
      </c>
      <c r="AE236" s="37">
        <f>AE235-(AE97+AE98)</f>
        <v/>
      </c>
    </row>
    <row r="237"/>
    <row r="238"/>
    <row r="239">
      <c r="B239" s="25" t="inlineStr">
        <is>
          <t>Cash Flow Ratios &amp; Assumptions</t>
        </is>
      </c>
      <c r="C239" s="25" t="n"/>
      <c r="D239" s="25" t="n"/>
      <c r="E239" s="25" t="n"/>
      <c r="F239" s="25" t="n"/>
      <c r="G239" s="25" t="n"/>
      <c r="H239" s="25" t="n"/>
      <c r="I239" s="25" t="n"/>
      <c r="J239" s="25" t="n"/>
      <c r="K239" s="25" t="n"/>
      <c r="L239" s="25" t="n"/>
      <c r="M239" s="25" t="n"/>
      <c r="N239" s="25" t="n"/>
      <c r="O239" s="25" t="n"/>
      <c r="P239" s="25" t="n"/>
      <c r="Q239" s="25" t="n"/>
      <c r="R239" s="25" t="n"/>
      <c r="S239" s="25" t="n"/>
      <c r="T239" s="25" t="n"/>
      <c r="U239" s="25" t="n"/>
      <c r="V239" s="25" t="n"/>
      <c r="X239" s="25" t="n"/>
      <c r="Y239" s="25" t="n"/>
      <c r="Z239" s="25" t="n"/>
      <c r="AA239" s="25" t="n"/>
      <c r="AB239" s="25" t="n"/>
      <c r="AC239" s="25" t="n"/>
      <c r="AD239" s="25" t="n"/>
      <c r="AE239" s="25" t="n"/>
    </row>
    <row r="240"/>
    <row r="241">
      <c r="D241" s="12" t="inlineStr">
        <is>
          <t>Total Capex (PPE + Internal SW)</t>
        </is>
      </c>
      <c r="G241" s="35">
        <f>G213+G214</f>
        <v/>
      </c>
      <c r="H241" s="35">
        <f>H213+H214</f>
        <v/>
      </c>
      <c r="I241" s="35">
        <f>I213+I214</f>
        <v/>
      </c>
      <c r="J241" s="35">
        <f>J213+J214</f>
        <v/>
      </c>
      <c r="K241" s="35">
        <f>K213+K214</f>
        <v/>
      </c>
      <c r="L241" s="35">
        <f>L213+L214</f>
        <v/>
      </c>
      <c r="M241" s="35">
        <f>M213+M214</f>
        <v/>
      </c>
      <c r="N241" s="35">
        <f>N213+N214</f>
        <v/>
      </c>
      <c r="O241" s="35">
        <f>O213+O214</f>
        <v/>
      </c>
      <c r="P241" s="35">
        <f>P213+P214</f>
        <v/>
      </c>
      <c r="Q241" s="35">
        <f>Q213+Q214</f>
        <v/>
      </c>
      <c r="R241" s="35">
        <f>R213+R214</f>
        <v/>
      </c>
      <c r="S241" s="35">
        <f>S213+S214</f>
        <v/>
      </c>
      <c r="T241" s="35">
        <f>T213+T214</f>
        <v/>
      </c>
      <c r="U241" s="35">
        <f>U213+U214</f>
        <v/>
      </c>
      <c r="V241" s="35">
        <f>V213+V214</f>
        <v/>
      </c>
      <c r="X241" s="35">
        <f>X213+X214</f>
        <v/>
      </c>
      <c r="Y241" s="35">
        <f>Y213+Y214</f>
        <v/>
      </c>
      <c r="Z241" s="35">
        <f>Z213+Z214</f>
        <v/>
      </c>
      <c r="AA241" s="35">
        <f>AA213+AA214</f>
        <v/>
      </c>
      <c r="AB241" s="35">
        <f>AB213+AB214</f>
        <v/>
      </c>
      <c r="AC241" s="35">
        <f>AC213+AC214</f>
        <v/>
      </c>
      <c r="AD241" s="35">
        <f>AD213+AD214</f>
        <v/>
      </c>
      <c r="AE241" s="35">
        <f>AE213+AE214</f>
        <v/>
      </c>
    </row>
    <row r="242">
      <c r="D242" s="10" t="inlineStr">
        <is>
          <t>Free Cash Flow (CFO + Capex)</t>
        </is>
      </c>
      <c r="G242" s="50">
        <f>G204+G241</f>
        <v/>
      </c>
      <c r="H242" s="50">
        <f>H204+H241</f>
        <v/>
      </c>
      <c r="I242" s="50">
        <f>I204+I241</f>
        <v/>
      </c>
      <c r="J242" s="50">
        <f>J204+J241</f>
        <v/>
      </c>
      <c r="K242" s="50">
        <f>K204+K241</f>
        <v/>
      </c>
      <c r="L242" s="50">
        <f>L204+L241</f>
        <v/>
      </c>
      <c r="M242" s="50">
        <f>M204+M241</f>
        <v/>
      </c>
      <c r="N242" s="50">
        <f>N204+N241</f>
        <v/>
      </c>
      <c r="O242" s="35">
        <f>O204+O241</f>
        <v/>
      </c>
      <c r="P242" s="35">
        <f>P204+P241</f>
        <v/>
      </c>
      <c r="Q242" s="35">
        <f>Q204+Q241</f>
        <v/>
      </c>
      <c r="R242" s="35">
        <f>R204+R241</f>
        <v/>
      </c>
      <c r="S242" s="35">
        <f>S204+S241</f>
        <v/>
      </c>
      <c r="T242" s="35">
        <f>T204+T241</f>
        <v/>
      </c>
      <c r="U242" s="35">
        <f>U204+U241</f>
        <v/>
      </c>
      <c r="V242" s="35">
        <f>V204+V241</f>
        <v/>
      </c>
      <c r="X242" s="50">
        <f>X204+X241</f>
        <v/>
      </c>
      <c r="Y242" s="50">
        <f>Y204+Y241</f>
        <v/>
      </c>
      <c r="Z242" s="50">
        <f>Z204+Z241</f>
        <v/>
      </c>
      <c r="AA242" s="35">
        <f>AA204+AA241</f>
        <v/>
      </c>
      <c r="AB242" s="35">
        <f>AB204+AB241</f>
        <v/>
      </c>
      <c r="AC242" s="35">
        <f>AC204+AC241</f>
        <v/>
      </c>
      <c r="AD242" s="35">
        <f>AD204+AD241</f>
        <v/>
      </c>
      <c r="AE242" s="35">
        <f>AE204+AE241</f>
        <v/>
      </c>
    </row>
    <row r="243"/>
    <row r="244">
      <c r="D244" s="12" t="inlineStr">
        <is>
          <t>CFO Margin (CFO / Rev)</t>
        </is>
      </c>
      <c r="G244" s="41">
        <f>IFERROR(G204/G10,"")</f>
        <v/>
      </c>
      <c r="H244" s="41">
        <f>IFERROR(H204/H10,"")</f>
        <v/>
      </c>
      <c r="I244" s="41">
        <f>IFERROR(I204/I10,"")</f>
        <v/>
      </c>
      <c r="J244" s="41">
        <f>IFERROR(J204/J10,"")</f>
        <v/>
      </c>
      <c r="K244" s="41">
        <f>IFERROR(K204/K10,"")</f>
        <v/>
      </c>
      <c r="L244" s="41">
        <f>IFERROR(L204/L10,"")</f>
        <v/>
      </c>
      <c r="M244" s="41">
        <f>IFERROR(M204/M10,"")</f>
        <v/>
      </c>
      <c r="N244" s="41">
        <f>IFERROR(N204/N10,"")</f>
        <v/>
      </c>
      <c r="O244" s="41">
        <f>IFERROR(O204/O10,"")</f>
        <v/>
      </c>
      <c r="P244" s="41">
        <f>IFERROR(P204/P10,"")</f>
        <v/>
      </c>
      <c r="Q244" s="41">
        <f>IFERROR(Q204/Q10,"")</f>
        <v/>
      </c>
      <c r="R244" s="41">
        <f>IFERROR(R204/R10,"")</f>
        <v/>
      </c>
      <c r="S244" s="41">
        <f>IFERROR(S204/S10,"")</f>
        <v/>
      </c>
      <c r="T244" s="41">
        <f>IFERROR(T204/T10,"")</f>
        <v/>
      </c>
      <c r="U244" s="41">
        <f>IFERROR(U204/U10,"")</f>
        <v/>
      </c>
      <c r="V244" s="41">
        <f>IFERROR(V204/V10,"")</f>
        <v/>
      </c>
      <c r="X244" s="41">
        <f>IFERROR(X204/X10,"")</f>
        <v/>
      </c>
      <c r="Y244" s="41">
        <f>IFERROR(Y204/Y10,"")</f>
        <v/>
      </c>
      <c r="Z244" s="41">
        <f>IFERROR(Z204/Z10,"")</f>
        <v/>
      </c>
      <c r="AA244" s="41">
        <f>IFERROR(AA204/AA10,"")</f>
        <v/>
      </c>
      <c r="AB244" s="41">
        <f>IFERROR(AB204/AB10,"")</f>
        <v/>
      </c>
      <c r="AC244" s="41">
        <f>IFERROR(AC204/AC10,"")</f>
        <v/>
      </c>
      <c r="AD244" s="41">
        <f>IFERROR(AD204/AD10,"")</f>
        <v/>
      </c>
      <c r="AE244" s="41">
        <f>IFERROR(AE204/AE10,"")</f>
        <v/>
      </c>
    </row>
    <row r="245">
      <c r="D245" s="12" t="inlineStr">
        <is>
          <t>FCF Margin</t>
        </is>
      </c>
      <c r="G245" s="41">
        <f>IFERROR(G242/G10,"")</f>
        <v/>
      </c>
      <c r="H245" s="41">
        <f>IFERROR(H242/H10,"")</f>
        <v/>
      </c>
      <c r="I245" s="41">
        <f>IFERROR(I242/I10,"")</f>
        <v/>
      </c>
      <c r="J245" s="41">
        <f>IFERROR(J242/J10,"")</f>
        <v/>
      </c>
      <c r="K245" s="41">
        <f>IFERROR(K242/K10,"")</f>
        <v/>
      </c>
      <c r="L245" s="41">
        <f>IFERROR(L242/L10,"")</f>
        <v/>
      </c>
      <c r="M245" s="41">
        <f>IFERROR(M242/M10,"")</f>
        <v/>
      </c>
      <c r="N245" s="41">
        <f>IFERROR(N242/N10,"")</f>
        <v/>
      </c>
      <c r="O245" s="41">
        <f>IFERROR(O242/O10,"")</f>
        <v/>
      </c>
      <c r="P245" s="41">
        <f>IFERROR(P242/P10,"")</f>
        <v/>
      </c>
      <c r="Q245" s="41">
        <f>IFERROR(Q242/Q10,"")</f>
        <v/>
      </c>
      <c r="R245" s="41">
        <f>IFERROR(R242/R10,"")</f>
        <v/>
      </c>
      <c r="S245" s="41">
        <f>IFERROR(S242/S10,"")</f>
        <v/>
      </c>
      <c r="T245" s="41">
        <f>IFERROR(T242/T10,"")</f>
        <v/>
      </c>
      <c r="U245" s="41">
        <f>IFERROR(U242/U10,"")</f>
        <v/>
      </c>
      <c r="V245" s="41">
        <f>IFERROR(V242/V10,"")</f>
        <v/>
      </c>
      <c r="X245" s="41">
        <f>IFERROR(X242/X10,"")</f>
        <v/>
      </c>
      <c r="Y245" s="41">
        <f>IFERROR(Y242/Y10,"")</f>
        <v/>
      </c>
      <c r="Z245" s="41">
        <f>IFERROR(Z242/Z10,"")</f>
        <v/>
      </c>
      <c r="AA245" s="41">
        <f>IFERROR(AA242/AA10,"")</f>
        <v/>
      </c>
      <c r="AB245" s="41">
        <f>IFERROR(AB242/AB10,"")</f>
        <v/>
      </c>
      <c r="AC245" s="41">
        <f>IFERROR(AC242/AC10,"")</f>
        <v/>
      </c>
      <c r="AD245" s="41">
        <f>IFERROR(AD242/AD10,"")</f>
        <v/>
      </c>
      <c r="AE245" s="41">
        <f>IFERROR(AE242/AE10,"")</f>
        <v/>
      </c>
    </row>
    <row r="246">
      <c r="D246" s="12" t="inlineStr">
        <is>
          <t>Capex (% of Revenue) [DRIVER]</t>
        </is>
      </c>
      <c r="G246" s="41">
        <f>IFERROR(-G241/G10,"")</f>
        <v/>
      </c>
      <c r="H246" s="41">
        <f>IFERROR(-H241/H10,"")</f>
        <v/>
      </c>
      <c r="I246" s="41">
        <f>IFERROR(-I241/I10,"")</f>
        <v/>
      </c>
      <c r="J246" s="41">
        <f>IFERROR(-J241/J10,"")</f>
        <v/>
      </c>
      <c r="K246" s="41">
        <f>IFERROR(-K241/K10,"")</f>
        <v/>
      </c>
      <c r="L246" s="41">
        <f>IFERROR(-L241/L10,"")</f>
        <v/>
      </c>
      <c r="M246" s="41">
        <f>IFERROR(-M241/M10,"")</f>
        <v/>
      </c>
      <c r="N246" s="41">
        <f>IFERROR(-N241/N10,"")</f>
        <v/>
      </c>
      <c r="O246" s="41">
        <f>IFERROR(-O241/O10,"")</f>
        <v/>
      </c>
      <c r="P246" s="41">
        <f>IFERROR(-P241/P10,"")</f>
        <v/>
      </c>
      <c r="Q246" s="41">
        <f>IFERROR(-Q241/Q10,"")</f>
        <v/>
      </c>
      <c r="R246" s="41">
        <f>IFERROR(-R241/R10,"")</f>
        <v/>
      </c>
      <c r="S246" s="41">
        <f>IFERROR(-S241/S10,"")</f>
        <v/>
      </c>
      <c r="T246" s="41">
        <f>IFERROR(-T241/T10,"")</f>
        <v/>
      </c>
      <c r="U246" s="41">
        <f>IFERROR(-U241/U10,"")</f>
        <v/>
      </c>
      <c r="V246" s="41">
        <f>IFERROR(-V241/V10,"")</f>
        <v/>
      </c>
      <c r="X246" s="41">
        <f>IFERROR(-X241/X10,"")</f>
        <v/>
      </c>
      <c r="Y246" s="41">
        <f>IFERROR(-Y241/Y10,"")</f>
        <v/>
      </c>
      <c r="Z246" s="41">
        <f>IFERROR(-Z241/Z10,"")</f>
        <v/>
      </c>
      <c r="AA246" s="41">
        <f>IFERROR(-AA241/AA10,"")</f>
        <v/>
      </c>
      <c r="AB246" s="41">
        <f>IFERROR(-AB241/AB10,"")</f>
        <v/>
      </c>
      <c r="AC246" s="41">
        <f>IFERROR(-AC241/AC10,"")</f>
        <v/>
      </c>
      <c r="AD246" s="41">
        <f>IFERROR(-AD241/AD10,"")</f>
        <v/>
      </c>
      <c r="AE246" s="41">
        <f>IFERROR(-AE241/AE10,"")</f>
        <v/>
      </c>
    </row>
    <row r="247">
      <c r="D247" s="12" t="inlineStr">
        <is>
          <t>CFO / Net Income (cash conversion)</t>
        </is>
      </c>
      <c r="G247" s="41">
        <f>IFERROR(G204/G37,"")</f>
        <v/>
      </c>
      <c r="H247" s="41">
        <f>IFERROR(H204/H37,"")</f>
        <v/>
      </c>
      <c r="I247" s="41">
        <f>IFERROR(I204/I37,"")</f>
        <v/>
      </c>
      <c r="J247" s="41">
        <f>IFERROR(J204/J37,"")</f>
        <v/>
      </c>
      <c r="K247" s="41">
        <f>IFERROR(K204/K37,"")</f>
        <v/>
      </c>
      <c r="L247" s="41">
        <f>IFERROR(L204/L37,"")</f>
        <v/>
      </c>
      <c r="M247" s="41">
        <f>IFERROR(M204/M37,"")</f>
        <v/>
      </c>
      <c r="N247" s="41">
        <f>IFERROR(N204/N37,"")</f>
        <v/>
      </c>
      <c r="O247" s="41">
        <f>IFERROR(O204/O37,"")</f>
        <v/>
      </c>
      <c r="P247" s="41">
        <f>IFERROR(P204/P37,"")</f>
        <v/>
      </c>
      <c r="Q247" s="41">
        <f>IFERROR(Q204/Q37,"")</f>
        <v/>
      </c>
      <c r="R247" s="41">
        <f>IFERROR(R204/R37,"")</f>
        <v/>
      </c>
      <c r="S247" s="41">
        <f>IFERROR(S204/S37,"")</f>
        <v/>
      </c>
      <c r="T247" s="41">
        <f>IFERROR(T204/T37,"")</f>
        <v/>
      </c>
      <c r="U247" s="41">
        <f>IFERROR(U204/U37,"")</f>
        <v/>
      </c>
      <c r="V247" s="41">
        <f>IFERROR(V204/V37,"")</f>
        <v/>
      </c>
      <c r="X247" s="41">
        <f>IFERROR(X204/X37,"")</f>
        <v/>
      </c>
      <c r="Y247" s="41">
        <f>IFERROR(Y204/Y37,"")</f>
        <v/>
      </c>
      <c r="Z247" s="41">
        <f>IFERROR(Z204/Z37,"")</f>
        <v/>
      </c>
      <c r="AA247" s="41">
        <f>IFERROR(AA204/AA37,"")</f>
        <v/>
      </c>
      <c r="AB247" s="41">
        <f>IFERROR(AB204/AB37,"")</f>
        <v/>
      </c>
      <c r="AC247" s="41">
        <f>IFERROR(AC204/AC37,"")</f>
        <v/>
      </c>
      <c r="AD247" s="41">
        <f>IFERROR(AD204/AD37,"")</f>
        <v/>
      </c>
      <c r="AE247" s="41">
        <f>IFERROR(AE204/AE37,"")</f>
        <v/>
      </c>
    </row>
    <row r="248">
      <c r="D248" s="12" t="inlineStr">
        <is>
          <t>FCF / Net Income</t>
        </is>
      </c>
      <c r="G248" s="41">
        <f>IFERROR(G242/G37,"")</f>
        <v/>
      </c>
      <c r="H248" s="41">
        <f>IFERROR(H242/H37,"")</f>
        <v/>
      </c>
      <c r="I248" s="41">
        <f>IFERROR(I242/I37,"")</f>
        <v/>
      </c>
      <c r="J248" s="41">
        <f>IFERROR(J242/J37,"")</f>
        <v/>
      </c>
      <c r="K248" s="41">
        <f>IFERROR(K242/K37,"")</f>
        <v/>
      </c>
      <c r="L248" s="41">
        <f>IFERROR(L242/L37,"")</f>
        <v/>
      </c>
      <c r="M248" s="41">
        <f>IFERROR(M242/M37,"")</f>
        <v/>
      </c>
      <c r="N248" s="41">
        <f>IFERROR(N242/N37,"")</f>
        <v/>
      </c>
      <c r="O248" s="41">
        <f>IFERROR(O242/O37,"")</f>
        <v/>
      </c>
      <c r="P248" s="41">
        <f>IFERROR(P242/P37,"")</f>
        <v/>
      </c>
      <c r="Q248" s="41">
        <f>IFERROR(Q242/Q37,"")</f>
        <v/>
      </c>
      <c r="R248" s="41">
        <f>IFERROR(R242/R37,"")</f>
        <v/>
      </c>
      <c r="S248" s="41">
        <f>IFERROR(S242/S37,"")</f>
        <v/>
      </c>
      <c r="T248" s="41">
        <f>IFERROR(T242/T37,"")</f>
        <v/>
      </c>
      <c r="U248" s="41">
        <f>IFERROR(U242/U37,"")</f>
        <v/>
      </c>
      <c r="V248" s="41">
        <f>IFERROR(V242/V37,"")</f>
        <v/>
      </c>
      <c r="X248" s="41">
        <f>IFERROR(X242/X37,"")</f>
        <v/>
      </c>
      <c r="Y248" s="41">
        <f>IFERROR(Y242/Y37,"")</f>
        <v/>
      </c>
      <c r="Z248" s="41">
        <f>IFERROR(Z242/Z37,"")</f>
        <v/>
      </c>
      <c r="AA248" s="41">
        <f>IFERROR(AA242/AA37,"")</f>
        <v/>
      </c>
      <c r="AB248" s="41">
        <f>IFERROR(AB242/AB37,"")</f>
        <v/>
      </c>
      <c r="AC248" s="41">
        <f>IFERROR(AC242/AC37,"")</f>
        <v/>
      </c>
      <c r="AD248" s="41">
        <f>IFERROR(AD242/AD37,"")</f>
        <v/>
      </c>
      <c r="AE248" s="41">
        <f>IFERROR(AE242/AE37,"")</f>
        <v/>
      </c>
    </row>
    <row r="249"/>
    <row r="250">
      <c r="D250" s="21" t="inlineStr">
        <is>
          <t>SBC (% of Revenue) [KEY DRIVER]</t>
        </is>
      </c>
      <c r="G250" s="41">
        <f>IFERROR(G186/G10,"")</f>
        <v/>
      </c>
      <c r="H250" s="41">
        <f>IFERROR(H186/H10,"")</f>
        <v/>
      </c>
      <c r="I250" s="41">
        <f>IFERROR(I186/I10,"")</f>
        <v/>
      </c>
      <c r="J250" s="41">
        <f>IFERROR(J186/J10,"")</f>
        <v/>
      </c>
      <c r="K250" s="41">
        <f>IFERROR(K186/K10,"")</f>
        <v/>
      </c>
      <c r="L250" s="41">
        <f>IFERROR(L186/L10,"")</f>
        <v/>
      </c>
      <c r="M250" s="41">
        <f>IFERROR(M186/M10,"")</f>
        <v/>
      </c>
      <c r="N250" s="41">
        <f>IFERROR(N186/N10,"")</f>
        <v/>
      </c>
      <c r="O250" s="41">
        <f>IFERROR(O186/O10,"")</f>
        <v/>
      </c>
      <c r="P250" s="41">
        <f>IFERROR(P186/P10,"")</f>
        <v/>
      </c>
      <c r="Q250" s="41">
        <f>IFERROR(Q186/Q10,"")</f>
        <v/>
      </c>
      <c r="R250" s="41">
        <f>IFERROR(R186/R10,"")</f>
        <v/>
      </c>
      <c r="S250" s="41">
        <f>IFERROR(S186/S10,"")</f>
        <v/>
      </c>
      <c r="T250" s="41">
        <f>IFERROR(T186/T10,"")</f>
        <v/>
      </c>
      <c r="U250" s="41">
        <f>IFERROR(U186/U10,"")</f>
        <v/>
      </c>
      <c r="V250" s="41">
        <f>IFERROR(V186/V10,"")</f>
        <v/>
      </c>
      <c r="X250" s="41">
        <f>IFERROR(X186/X10,"")</f>
        <v/>
      </c>
      <c r="Y250" s="41">
        <f>IFERROR(Y186/Y10,"")</f>
        <v/>
      </c>
      <c r="Z250" s="41">
        <f>IFERROR(Z186/Z10,"")</f>
        <v/>
      </c>
      <c r="AA250" s="41">
        <f>IFERROR(AA186/AA10,"")</f>
        <v/>
      </c>
      <c r="AB250" s="41">
        <f>IFERROR(AB186/AB10,"")</f>
        <v/>
      </c>
      <c r="AC250" s="41">
        <f>IFERROR(AC186/AC10,"")</f>
        <v/>
      </c>
      <c r="AD250" s="41">
        <f>IFERROR(AD186/AD10,"")</f>
        <v/>
      </c>
      <c r="AE250" s="41">
        <f>IFERROR(AE186/AE10,"")</f>
        <v/>
      </c>
    </row>
    <row r="251"/>
    <row r="252">
      <c r="D252" s="2" t="inlineStr">
        <is>
          <t>Loans Held for Investment — Net Investing ($M)</t>
        </is>
      </c>
      <c r="G252" s="51">
        <f>G211+G212</f>
        <v/>
      </c>
      <c r="H252" s="51">
        <f>H211+H212</f>
        <v/>
      </c>
      <c r="I252" s="51">
        <f>I211+I212</f>
        <v/>
      </c>
      <c r="J252" s="51">
        <f>J211+J212</f>
        <v/>
      </c>
      <c r="K252" s="51">
        <f>K211+K212</f>
        <v/>
      </c>
      <c r="L252" s="51">
        <f>L211+L212</f>
        <v/>
      </c>
      <c r="M252" s="51">
        <f>M211+M212</f>
        <v/>
      </c>
      <c r="N252" s="51">
        <f>N211+N212</f>
        <v/>
      </c>
      <c r="O252" s="35">
        <f>O211+O212</f>
        <v/>
      </c>
      <c r="P252" s="35">
        <f>P211+P212</f>
        <v/>
      </c>
      <c r="Q252" s="35">
        <f>Q211+Q212</f>
        <v/>
      </c>
      <c r="R252" s="35">
        <f>R211+R212</f>
        <v/>
      </c>
      <c r="S252" s="35">
        <f>S211+S212</f>
        <v/>
      </c>
      <c r="T252" s="35">
        <f>T211+T212</f>
        <v/>
      </c>
      <c r="U252" s="35">
        <f>U211+U212</f>
        <v/>
      </c>
      <c r="V252" s="35">
        <f>V211+V212</f>
        <v/>
      </c>
      <c r="X252" s="51">
        <f>X211+X212</f>
        <v/>
      </c>
      <c r="Y252" s="51">
        <f>Y211+Y212</f>
        <v/>
      </c>
      <c r="Z252" s="51">
        <f>Z211+Z212</f>
        <v/>
      </c>
      <c r="AA252" s="35">
        <f>AA211+AA212</f>
        <v/>
      </c>
      <c r="AB252" s="35">
        <f>AB211+AB212</f>
        <v/>
      </c>
      <c r="AC252" s="35">
        <f>AC211+AC212</f>
        <v/>
      </c>
      <c r="AD252" s="35">
        <f>AD211+AD212</f>
        <v/>
      </c>
      <c r="AE252" s="35">
        <f>AE211+AE212</f>
        <v/>
      </c>
    </row>
    <row r="253"/>
    <row r="254"/>
    <row r="255"/>
    <row r="256"/>
    <row r="257"/>
    <row r="258"/>
    <row r="259">
      <c r="B259" s="60" t="n"/>
      <c r="C259" s="60" t="n"/>
      <c r="D259" s="60" t="n"/>
      <c r="E259" s="60" t="n"/>
      <c r="F259" s="60" t="n"/>
      <c r="G259" s="60" t="n"/>
      <c r="H259" s="60" t="n"/>
      <c r="I259" s="60" t="n"/>
      <c r="J259" s="60" t="n"/>
      <c r="K259" s="60" t="n"/>
      <c r="L259" s="60" t="n"/>
      <c r="M259" s="60" t="n"/>
      <c r="N259" s="60" t="n"/>
      <c r="O259" s="60" t="n"/>
      <c r="P259" s="60" t="n"/>
      <c r="Q259" s="60" t="n"/>
      <c r="R259" s="60" t="n"/>
      <c r="S259" s="60" t="n"/>
      <c r="T259" s="60" t="n"/>
      <c r="U259" s="60" t="n"/>
      <c r="V259" s="60" t="n"/>
      <c r="X259" s="60" t="n"/>
      <c r="Y259" s="60" t="n"/>
      <c r="Z259" s="60" t="n"/>
      <c r="AA259" s="60" t="n"/>
      <c r="AB259" s="60" t="n"/>
      <c r="AC259" s="60" t="n"/>
      <c r="AD259" s="60" t="n"/>
      <c r="AE259" s="60" t="n"/>
    </row>
    <row r="260"/>
    <row r="261">
      <c r="C261" s="12" t="n"/>
      <c r="G261" s="52" t="n"/>
      <c r="H261" s="52" t="n"/>
      <c r="I261" s="52" t="n"/>
      <c r="J261" s="52" t="n"/>
      <c r="K261" s="52" t="n"/>
      <c r="L261" s="52" t="n"/>
      <c r="M261" s="52" t="n"/>
      <c r="N261" s="52" t="n"/>
      <c r="O261" s="52" t="n"/>
      <c r="P261" s="52" t="n"/>
      <c r="Q261" s="52" t="n"/>
      <c r="R261" s="52" t="n"/>
      <c r="S261" s="52" t="n"/>
      <c r="T261" s="52" t="n"/>
      <c r="U261" s="52" t="n"/>
      <c r="V261" s="52" t="n"/>
      <c r="Y261" s="52" t="n"/>
      <c r="Z261" s="52" t="n"/>
      <c r="AA261" s="52" t="n"/>
      <c r="AB261" s="52" t="n"/>
      <c r="AC261" s="52" t="n"/>
      <c r="AD261" s="52" t="n"/>
      <c r="AE261" s="52" t="n"/>
    </row>
    <row r="262">
      <c r="D262" s="8" t="n"/>
      <c r="O262" s="41" t="n"/>
      <c r="P262" s="41" t="n"/>
      <c r="Q262" s="41" t="n"/>
      <c r="R262" s="41" t="n"/>
      <c r="S262" s="41" t="n"/>
      <c r="T262" s="41" t="n"/>
      <c r="U262" s="41" t="n"/>
      <c r="V262" s="41" t="n"/>
      <c r="AA262" s="41" t="n"/>
      <c r="AB262" s="41" t="n"/>
      <c r="AC262" s="41" t="n"/>
      <c r="AD262" s="41" t="n"/>
      <c r="AE262" s="41" t="n"/>
    </row>
    <row r="263"/>
    <row r="264">
      <c r="C264" s="12" t="n"/>
      <c r="G264" s="53" t="n"/>
      <c r="H264" s="53" t="n"/>
      <c r="I264" s="53" t="n"/>
      <c r="J264" s="53" t="n"/>
      <c r="K264" s="53" t="n"/>
      <c r="L264" s="53" t="n"/>
      <c r="M264" s="53" t="n"/>
      <c r="N264" s="53" t="n"/>
      <c r="O264" s="54" t="n"/>
      <c r="P264" s="54" t="n"/>
      <c r="Q264" s="54" t="n"/>
      <c r="R264" s="54" t="n"/>
      <c r="S264" s="54" t="n"/>
      <c r="T264" s="54" t="n"/>
      <c r="U264" s="54" t="n"/>
      <c r="V264" s="54" t="n"/>
      <c r="Y264" s="53" t="n"/>
      <c r="Z264" s="53" t="n"/>
      <c r="AA264" s="54" t="n"/>
      <c r="AB264" s="54" t="n"/>
      <c r="AC264" s="54" t="n"/>
      <c r="AD264" s="54" t="n"/>
      <c r="AE264" s="54" t="n"/>
    </row>
    <row r="265"/>
    <row r="266">
      <c r="C266" s="12" t="n"/>
      <c r="G266" s="55" t="n"/>
      <c r="H266" s="55" t="n"/>
      <c r="I266" s="55" t="n"/>
      <c r="J266" s="55" t="n"/>
      <c r="K266" s="55" t="n"/>
      <c r="L266" s="55" t="n"/>
      <c r="M266" s="55" t="n"/>
      <c r="N266" s="55" t="n"/>
      <c r="O266" s="56" t="n"/>
      <c r="P266" s="56" t="n"/>
      <c r="Q266" s="56" t="n"/>
      <c r="R266" s="56" t="n"/>
      <c r="S266" s="56" t="n"/>
      <c r="T266" s="56" t="n"/>
      <c r="U266" s="56" t="n"/>
      <c r="V266" s="56" t="n"/>
      <c r="Y266" s="55" t="n"/>
      <c r="Z266" s="55" t="n"/>
      <c r="AA266" s="56" t="n"/>
      <c r="AB266" s="56" t="n"/>
      <c r="AC266" s="56" t="n"/>
      <c r="AD266" s="56" t="n"/>
      <c r="AE266" s="56" t="n"/>
    </row>
    <row r="267"/>
    <row r="268">
      <c r="C268" s="12" t="n"/>
      <c r="G268" s="57" t="n"/>
      <c r="H268" s="57" t="n"/>
      <c r="I268" s="57" t="n"/>
      <c r="J268" s="57" t="n"/>
      <c r="K268" s="57" t="n"/>
      <c r="L268" s="57" t="n"/>
      <c r="M268" s="57" t="n"/>
      <c r="N268" s="57" t="n"/>
      <c r="O268" s="58" t="n"/>
      <c r="P268" s="58" t="n"/>
      <c r="Q268" s="58" t="n"/>
      <c r="R268" s="58" t="n"/>
      <c r="S268" s="58" t="n"/>
      <c r="T268" s="58" t="n"/>
      <c r="U268" s="58" t="n"/>
      <c r="V268" s="58" t="n"/>
      <c r="Y268" s="57" t="n"/>
      <c r="Z268" s="57" t="n"/>
      <c r="AA268" s="58" t="n"/>
      <c r="AB268" s="58" t="n"/>
      <c r="AC268" s="58" t="n"/>
      <c r="AD268" s="58" t="n"/>
      <c r="AE268" s="58" t="n"/>
    </row>
    <row r="269"/>
    <row r="270">
      <c r="C270" s="12" t="n"/>
      <c r="G270" s="35" t="n"/>
      <c r="H270" s="35" t="n"/>
      <c r="I270" s="35" t="n"/>
      <c r="J270" s="35" t="n"/>
      <c r="K270" s="35" t="n"/>
      <c r="L270" s="35" t="n"/>
      <c r="M270" s="35" t="n"/>
      <c r="N270" s="35" t="n"/>
      <c r="O270" s="35" t="n"/>
      <c r="P270" s="35" t="n"/>
      <c r="Q270" s="35" t="n"/>
      <c r="R270" s="35" t="n"/>
      <c r="S270" s="35" t="n"/>
      <c r="T270" s="35" t="n"/>
      <c r="U270" s="35" t="n"/>
      <c r="V270" s="35" t="n"/>
      <c r="X270" s="35" t="n"/>
      <c r="Y270" s="35" t="n"/>
      <c r="Z270" s="35" t="n"/>
      <c r="AA270" s="35" t="n"/>
      <c r="AB270" s="35" t="n"/>
      <c r="AC270" s="35" t="n"/>
      <c r="AD270" s="35" t="n"/>
      <c r="AE270" s="35" t="n"/>
    </row>
    <row r="271"/>
    <row r="272">
      <c r="C272" s="12" t="n"/>
      <c r="G272" s="53" t="n"/>
      <c r="H272" s="53" t="n"/>
      <c r="I272" s="53" t="n"/>
      <c r="J272" s="53" t="n"/>
      <c r="K272" s="53" t="n"/>
      <c r="L272" s="53" t="n"/>
      <c r="M272" s="53" t="n"/>
      <c r="N272" s="53" t="n"/>
      <c r="O272" s="53" t="n"/>
      <c r="P272" s="53" t="n"/>
      <c r="Q272" s="53" t="n"/>
      <c r="R272" s="53" t="n"/>
      <c r="S272" s="53" t="n"/>
      <c r="T272" s="53" t="n"/>
      <c r="U272" s="53" t="n"/>
      <c r="V272" s="53" t="n"/>
      <c r="X272" s="53" t="n"/>
      <c r="Y272" s="53" t="n"/>
      <c r="Z272" s="53" t="n"/>
      <c r="AA272" s="53" t="n"/>
      <c r="AB272" s="53" t="n"/>
      <c r="AC272" s="53" t="n"/>
      <c r="AD272" s="53" t="n"/>
      <c r="AE272" s="53" t="n"/>
    </row>
    <row r="273">
      <c r="D273" s="8" t="n"/>
      <c r="O273" s="41" t="n"/>
      <c r="P273" s="41" t="n"/>
      <c r="Q273" s="41" t="n"/>
      <c r="R273" s="41" t="n"/>
      <c r="S273" s="41" t="n"/>
      <c r="T273" s="41" t="n"/>
      <c r="U273" s="41" t="n"/>
      <c r="V273" s="41" t="n"/>
      <c r="AA273" s="41" t="n"/>
      <c r="AB273" s="41" t="n"/>
      <c r="AC273" s="41" t="n"/>
      <c r="AD273" s="41" t="n"/>
      <c r="AE273" s="41" t="n"/>
    </row>
    <row r="274"/>
    <row r="275">
      <c r="C275" s="12" t="n"/>
      <c r="G275" s="59" t="n"/>
      <c r="H275" s="59" t="n"/>
      <c r="I275" s="59" t="n"/>
      <c r="J275" s="59" t="n"/>
      <c r="K275" s="59" t="n"/>
      <c r="L275" s="59" t="n"/>
      <c r="M275" s="59" t="n"/>
      <c r="N275" s="59" t="n"/>
      <c r="O275" s="59" t="n"/>
      <c r="P275" s="59" t="n"/>
      <c r="Q275" s="59" t="n"/>
      <c r="R275" s="59" t="n"/>
      <c r="S275" s="59" t="n"/>
      <c r="T275" s="59" t="n"/>
      <c r="U275" s="59" t="n"/>
      <c r="V275" s="59" t="n"/>
      <c r="Y275" s="59" t="n"/>
      <c r="Z275" s="59" t="n"/>
      <c r="AA275" s="59" t="n"/>
      <c r="AB275" s="59" t="n"/>
      <c r="AC275" s="59" t="n"/>
      <c r="AD275" s="59" t="n"/>
      <c r="AE275" s="59" t="n"/>
    </row>
    <row r="276"/>
    <row r="277"/>
    <row r="278"/>
    <row r="279">
      <c r="B279" s="60" t="n"/>
      <c r="C279" s="60" t="n"/>
      <c r="D279" s="60" t="n"/>
      <c r="E279" s="60" t="n"/>
      <c r="F279" s="60" t="n"/>
      <c r="G279" s="60" t="n"/>
      <c r="H279" s="60" t="n"/>
      <c r="I279" s="60" t="n"/>
      <c r="J279" s="60" t="n"/>
      <c r="K279" s="60" t="n"/>
      <c r="L279" s="60" t="n"/>
      <c r="M279" s="60" t="n"/>
      <c r="N279" s="60" t="n"/>
      <c r="O279" s="60" t="n"/>
      <c r="P279" s="60" t="n"/>
      <c r="Q279" s="60" t="n"/>
      <c r="R279" s="60" t="n"/>
      <c r="S279" s="60" t="n"/>
      <c r="T279" s="60" t="n"/>
      <c r="U279" s="60" t="n"/>
      <c r="V279" s="60" t="n"/>
      <c r="X279" s="60" t="n"/>
      <c r="Y279" s="60" t="n"/>
      <c r="Z279" s="60" t="n"/>
      <c r="AA279" s="60" t="n"/>
      <c r="AB279" s="60" t="n"/>
      <c r="AC279" s="60" t="n"/>
      <c r="AD279" s="60" t="n"/>
      <c r="AE279" s="60" t="n"/>
    </row>
    <row r="280"/>
    <row r="281">
      <c r="C281" s="12" t="n"/>
      <c r="J281" s="41" t="n"/>
      <c r="K281" s="41" t="n"/>
      <c r="L281" s="41" t="n"/>
      <c r="M281" s="41" t="n"/>
      <c r="N281" s="41" t="n"/>
      <c r="O281" s="42" t="n"/>
      <c r="P281" s="42" t="n"/>
      <c r="Q281" s="42" t="n"/>
      <c r="R281" s="42" t="n"/>
      <c r="S281" s="42" t="n"/>
      <c r="T281" s="42" t="n"/>
      <c r="U281" s="42" t="n"/>
      <c r="V281" s="42" t="n"/>
      <c r="Y281" s="41" t="n"/>
      <c r="Z281" s="41" t="n"/>
      <c r="AA281" s="42" t="n"/>
      <c r="AB281" s="42" t="n"/>
      <c r="AC281" s="42" t="n"/>
      <c r="AD281" s="42" t="n"/>
      <c r="AE281" s="42" t="n"/>
    </row>
    <row r="282">
      <c r="C282" s="12" t="n"/>
      <c r="J282" s="41" t="n"/>
      <c r="K282" s="41" t="n"/>
      <c r="L282" s="41" t="n"/>
      <c r="M282" s="41" t="n"/>
      <c r="N282" s="41" t="n"/>
      <c r="O282" s="42" t="n"/>
      <c r="P282" s="42" t="n"/>
      <c r="Q282" s="42" t="n"/>
      <c r="R282" s="42" t="n"/>
      <c r="S282" s="42" t="n"/>
      <c r="T282" s="42" t="n"/>
      <c r="U282" s="42" t="n"/>
      <c r="V282" s="42" t="n"/>
      <c r="Y282" s="41" t="n"/>
      <c r="Z282" s="41" t="n"/>
      <c r="AA282" s="42" t="n"/>
      <c r="AB282" s="42" t="n"/>
      <c r="AC282" s="42" t="n"/>
      <c r="AD282" s="42" t="n"/>
      <c r="AE282" s="42" t="n"/>
    </row>
    <row r="283">
      <c r="C283" s="12" t="n"/>
      <c r="J283" s="41" t="n"/>
      <c r="K283" s="41" t="n"/>
      <c r="L283" s="41" t="n"/>
      <c r="M283" s="41" t="n"/>
      <c r="N283" s="41" t="n"/>
      <c r="O283" s="42" t="n"/>
      <c r="P283" s="42" t="n"/>
      <c r="Q283" s="42" t="n"/>
      <c r="R283" s="42" t="n"/>
      <c r="S283" s="42" t="n"/>
      <c r="T283" s="42" t="n"/>
      <c r="U283" s="42" t="n"/>
      <c r="V283" s="42" t="n"/>
      <c r="Y283" s="41" t="n"/>
      <c r="Z283" s="41" t="n"/>
      <c r="AA283" s="42" t="n"/>
      <c r="AB283" s="42" t="n"/>
      <c r="AC283" s="42" t="n"/>
      <c r="AD283" s="42" t="n"/>
      <c r="AE283" s="42" t="n"/>
    </row>
    <row r="284">
      <c r="C284" s="12" t="n"/>
      <c r="J284" s="41" t="n"/>
      <c r="K284" s="41" t="n"/>
      <c r="L284" s="41" t="n"/>
      <c r="M284" s="41" t="n"/>
      <c r="N284" s="41" t="n"/>
      <c r="O284" s="42" t="n"/>
      <c r="P284" s="42" t="n"/>
      <c r="Q284" s="42" t="n"/>
      <c r="R284" s="42" t="n"/>
      <c r="S284" s="42" t="n"/>
      <c r="T284" s="42" t="n"/>
      <c r="U284" s="42" t="n"/>
      <c r="V284" s="42" t="n"/>
      <c r="Y284" s="41" t="n"/>
      <c r="Z284" s="41" t="n"/>
      <c r="AA284" s="42" t="n"/>
      <c r="AB284" s="42" t="n"/>
      <c r="AC284" s="42" t="n"/>
      <c r="AD284" s="42" t="n"/>
      <c r="AE284" s="42" t="n"/>
    </row>
    <row r="285">
      <c r="C285" s="12" t="n"/>
      <c r="J285" s="41" t="n"/>
      <c r="K285" s="41" t="n"/>
      <c r="L285" s="41" t="n"/>
      <c r="M285" s="41" t="n"/>
      <c r="N285" s="41" t="n"/>
      <c r="O285" s="42" t="n"/>
      <c r="P285" s="42" t="n"/>
      <c r="Q285" s="42" t="n"/>
      <c r="R285" s="42" t="n"/>
      <c r="S285" s="42" t="n"/>
      <c r="T285" s="42" t="n"/>
      <c r="U285" s="42" t="n"/>
      <c r="V285" s="42" t="n"/>
      <c r="Y285" s="41" t="n"/>
      <c r="Z285" s="41" t="n"/>
      <c r="AA285" s="42" t="n"/>
      <c r="AB285" s="42" t="n"/>
      <c r="AC285" s="42" t="n"/>
      <c r="AD285" s="42" t="n"/>
      <c r="AE285" s="42" t="n"/>
    </row>
    <row r="286">
      <c r="C286" s="12" t="n"/>
      <c r="J286" s="41" t="n"/>
      <c r="K286" s="41" t="n"/>
      <c r="L286" s="41" t="n"/>
      <c r="M286" s="41" t="n"/>
      <c r="N286" s="41" t="n"/>
      <c r="O286" s="42" t="n"/>
      <c r="P286" s="42" t="n"/>
      <c r="Q286" s="42" t="n"/>
      <c r="R286" s="42" t="n"/>
      <c r="S286" s="42" t="n"/>
      <c r="T286" s="42" t="n"/>
      <c r="U286" s="42" t="n"/>
      <c r="V286" s="42" t="n"/>
      <c r="Y286" s="41" t="n"/>
      <c r="Z286" s="41" t="n"/>
      <c r="AA286" s="42" t="n"/>
      <c r="AB286" s="42" t="n"/>
      <c r="AC286" s="42" t="n"/>
      <c r="AD286" s="42" t="n"/>
      <c r="AE286" s="42" t="n"/>
    </row>
    <row r="287">
      <c r="C287" s="12" t="n"/>
      <c r="J287" s="41" t="n"/>
      <c r="K287" s="41" t="n"/>
      <c r="L287" s="41" t="n"/>
      <c r="M287" s="41" t="n"/>
      <c r="N287" s="41" t="n"/>
      <c r="O287" s="42" t="n"/>
      <c r="P287" s="42" t="n"/>
      <c r="Q287" s="42" t="n"/>
      <c r="R287" s="42" t="n"/>
      <c r="S287" s="42" t="n"/>
      <c r="T287" s="42" t="n"/>
      <c r="U287" s="42" t="n"/>
      <c r="V287" s="42" t="n"/>
      <c r="Y287" s="41" t="n"/>
      <c r="Z287" s="41" t="n"/>
      <c r="AA287" s="42" t="n"/>
      <c r="AB287" s="42" t="n"/>
      <c r="AC287" s="42" t="n"/>
      <c r="AD287" s="42" t="n"/>
      <c r="AE287" s="42" t="n"/>
    </row>
    <row r="288">
      <c r="C288" s="12" t="n"/>
      <c r="J288" s="41" t="n"/>
      <c r="K288" s="41" t="n"/>
      <c r="L288" s="41" t="n"/>
      <c r="M288" s="41" t="n"/>
      <c r="N288" s="41" t="n"/>
      <c r="O288" s="42" t="n"/>
      <c r="P288" s="42" t="n"/>
      <c r="Q288" s="42" t="n"/>
      <c r="R288" s="42" t="n"/>
      <c r="S288" s="42" t="n"/>
      <c r="T288" s="42" t="n"/>
      <c r="U288" s="42" t="n"/>
      <c r="V288" s="42" t="n"/>
      <c r="Y288" s="41" t="n"/>
      <c r="Z288" s="41" t="n"/>
      <c r="AA288" s="42" t="n"/>
      <c r="AB288" s="42" t="n"/>
      <c r="AC288" s="42" t="n"/>
      <c r="AD288" s="42" t="n"/>
      <c r="AE288" s="42" t="n"/>
    </row>
    <row r="289">
      <c r="C289" s="12" t="n"/>
      <c r="G289" s="41" t="n"/>
      <c r="H289" s="41" t="n"/>
      <c r="I289" s="41" t="n"/>
      <c r="J289" s="41" t="n"/>
      <c r="K289" s="41" t="n"/>
      <c r="L289" s="41" t="n"/>
      <c r="M289" s="41" t="n"/>
      <c r="N289" s="41" t="n"/>
      <c r="O289" s="42" t="n"/>
      <c r="P289" s="42" t="n"/>
      <c r="Q289" s="42" t="n"/>
      <c r="R289" s="42" t="n"/>
      <c r="S289" s="42" t="n"/>
      <c r="T289" s="42" t="n"/>
      <c r="U289" s="42" t="n"/>
      <c r="V289" s="42" t="n"/>
      <c r="X289" s="41" t="n"/>
      <c r="Y289" s="41" t="n"/>
      <c r="Z289" s="41" t="n"/>
      <c r="AA289" s="42" t="n"/>
      <c r="AB289" s="42" t="n"/>
      <c r="AC289" s="42" t="n"/>
      <c r="AD289" s="42" t="n"/>
      <c r="AE289" s="42" t="n"/>
    </row>
    <row r="290">
      <c r="C290" s="12" t="n"/>
      <c r="G290" s="41" t="n"/>
      <c r="H290" s="41" t="n"/>
      <c r="I290" s="41" t="n"/>
      <c r="J290" s="41" t="n"/>
      <c r="K290" s="41" t="n"/>
      <c r="L290" s="41" t="n"/>
      <c r="M290" s="41" t="n"/>
      <c r="N290" s="41" t="n"/>
      <c r="O290" s="42" t="n"/>
      <c r="P290" s="42" t="n"/>
      <c r="Q290" s="42" t="n"/>
      <c r="R290" s="42" t="n"/>
      <c r="S290" s="42" t="n"/>
      <c r="T290" s="42" t="n"/>
      <c r="U290" s="42" t="n"/>
      <c r="V290" s="42" t="n"/>
      <c r="X290" s="41" t="n"/>
      <c r="Y290" s="41" t="n"/>
      <c r="Z290" s="41" t="n"/>
      <c r="AA290" s="42" t="n"/>
      <c r="AB290" s="42" t="n"/>
      <c r="AC290" s="42" t="n"/>
      <c r="AD290" s="42" t="n"/>
      <c r="AE290" s="42" t="n"/>
    </row>
    <row r="291"/>
    <row r="292"/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808080"/>
    <outlinePr summaryBelow="1" summaryRight="1"/>
    <pageSetUpPr/>
  </sheetPr>
  <dimension ref="A1:Z33"/>
  <sheetViews>
    <sheetView showGridLines="0" zoomScale="85" workbookViewId="0">
      <selection activeCell="A1" sqref="A1"/>
    </sheetView>
  </sheetViews>
  <sheetFormatPr baseColWidth="8" defaultRowHeight="15"/>
  <cols>
    <col width="1.7" customWidth="1" min="1" max="1"/>
    <col width="2.4" customWidth="1" min="2" max="2"/>
    <col width="35" customWidth="1" min="3" max="3"/>
    <col width="1.7" customWidth="1" min="4" max="4"/>
  </cols>
  <sheetData>
    <row r="1">
      <c r="B1" s="29" t="inlineStr">
        <is>
          <t>As-Reported Subtotals (source-of-truth for reconciliation)</t>
        </is>
      </c>
    </row>
    <row r="2">
      <c r="B2" s="8" t="inlineStr">
        <is>
          <t>Hardcoded blue from filings; financials reconciliation rows pull from here</t>
        </is>
      </c>
    </row>
    <row r="3"/>
    <row r="4"/>
    <row r="5">
      <c r="G5" s="10" t="inlineStr">
        <is>
          <t>1Q24</t>
        </is>
      </c>
      <c r="H5" s="10" t="inlineStr">
        <is>
          <t>2Q24</t>
        </is>
      </c>
      <c r="I5" s="10" t="inlineStr">
        <is>
          <t>3Q24</t>
        </is>
      </c>
      <c r="J5" s="10" t="inlineStr">
        <is>
          <t>4Q24</t>
        </is>
      </c>
      <c r="K5" s="10" t="inlineStr">
        <is>
          <t>1Q25</t>
        </is>
      </c>
      <c r="L5" s="10" t="inlineStr">
        <is>
          <t>2Q25</t>
        </is>
      </c>
      <c r="M5" s="10" t="inlineStr">
        <is>
          <t>3Q25</t>
        </is>
      </c>
      <c r="N5" s="10" t="inlineStr">
        <is>
          <t>4Q25</t>
        </is>
      </c>
      <c r="X5" s="10" t="n">
        <v>2023</v>
      </c>
      <c r="Y5" s="10" t="n">
        <v>2024</v>
      </c>
      <c r="Z5" s="10" t="n">
        <v>2025</v>
      </c>
    </row>
    <row r="6">
      <c r="G6" s="30" t="n">
        <v>45473</v>
      </c>
      <c r="H6" s="30" t="n">
        <v>45565</v>
      </c>
      <c r="I6" s="30" t="n">
        <v>45657</v>
      </c>
      <c r="J6" s="30" t="n">
        <v>45747</v>
      </c>
      <c r="K6" s="30" t="n">
        <v>45838</v>
      </c>
      <c r="L6" s="30" t="n">
        <v>45930</v>
      </c>
      <c r="M6" s="30" t="n">
        <v>46022</v>
      </c>
      <c r="N6" s="30" t="n">
        <v>46112</v>
      </c>
      <c r="X6" s="30" t="n">
        <v>45291</v>
      </c>
      <c r="Y6" s="30" t="n">
        <v>45657</v>
      </c>
      <c r="Z6" s="30" t="n">
        <v>46022</v>
      </c>
    </row>
    <row r="7"/>
    <row r="8"/>
    <row r="9">
      <c r="B9" s="10" t="inlineStr">
        <is>
          <t>Gross Profit (filed)</t>
        </is>
      </c>
      <c r="G9" s="34" t="n">
        <v>333.71</v>
      </c>
      <c r="H9" s="34" t="n">
        <v>368.355</v>
      </c>
      <c r="I9" s="34" t="n">
        <v>419.168</v>
      </c>
      <c r="J9" s="34" t="n">
        <v>458.326</v>
      </c>
      <c r="K9" s="34" t="n">
        <v>461.029</v>
      </c>
      <c r="L9" s="34" t="n">
        <v>474.118</v>
      </c>
      <c r="M9" s="34" t="n">
        <v>530.25</v>
      </c>
      <c r="N9" s="34" t="n">
        <v>580.313</v>
      </c>
      <c r="X9" s="34" t="n">
        <v>1058.718</v>
      </c>
      <c r="Y9" s="34" t="n">
        <v>1465.758</v>
      </c>
      <c r="Z9" s="34" t="n">
        <v>1923.723</v>
      </c>
    </row>
    <row r="10">
      <c r="B10" s="10" t="inlineStr">
        <is>
          <t>Total OpEx (filed, NEG)</t>
        </is>
      </c>
      <c r="G10" s="34" t="n">
        <v>-343.151</v>
      </c>
      <c r="H10" s="34" t="n">
        <v>-398.999</v>
      </c>
      <c r="I10" s="34" t="n">
        <v>-446.314</v>
      </c>
      <c r="J10" s="34" t="n">
        <v>-449.189</v>
      </c>
      <c r="K10" s="34" t="n">
        <v>-1391.667</v>
      </c>
      <c r="L10" s="34" t="n">
        <v>-538.828</v>
      </c>
      <c r="M10" s="34" t="n">
        <v>-584.018</v>
      </c>
      <c r="N10" s="34" t="n">
        <v>-534.15</v>
      </c>
      <c r="X10" s="34" t="n">
        <v>-1294.503</v>
      </c>
      <c r="Y10" s="34" t="n">
        <v>-1527.957</v>
      </c>
      <c r="Z10" s="34" t="n">
        <v>-2963.702</v>
      </c>
    </row>
    <row r="11">
      <c r="B11" s="10" t="inlineStr">
        <is>
          <t>Operating Income (filed)</t>
        </is>
      </c>
      <c r="G11" s="34" t="n">
        <v>-9.441000000000001</v>
      </c>
      <c r="H11" s="34" t="n">
        <v>-30.644</v>
      </c>
      <c r="I11" s="34" t="n">
        <v>-27.146</v>
      </c>
      <c r="J11" s="34" t="n">
        <v>9.137</v>
      </c>
      <c r="K11" s="34" t="n">
        <v>-930.638</v>
      </c>
      <c r="L11" s="34" t="n">
        <v>-64.70999999999999</v>
      </c>
      <c r="M11" s="34" t="n">
        <v>-53.768</v>
      </c>
      <c r="N11" s="34" t="n">
        <v>46.163</v>
      </c>
      <c r="X11" s="34" t="n">
        <v>-235.785</v>
      </c>
      <c r="Y11" s="34" t="n">
        <v>-62.199</v>
      </c>
      <c r="Z11" s="34" t="n">
        <v>-1039.979</v>
      </c>
    </row>
    <row r="12">
      <c r="B12" s="10" t="inlineStr">
        <is>
          <t>Pretax (filed)</t>
        </is>
      </c>
      <c r="G12" s="34" t="n">
        <v>0.463</v>
      </c>
      <c r="H12" s="34" t="n">
        <v>-19.827</v>
      </c>
      <c r="I12" s="34" t="n">
        <v>-18.911</v>
      </c>
      <c r="J12" s="34" t="n">
        <v>14.491</v>
      </c>
      <c r="K12" s="34" t="n">
        <v>-924.423</v>
      </c>
      <c r="L12" s="34" t="n">
        <v>-54.442</v>
      </c>
      <c r="M12" s="34" t="n">
        <v>-44.731</v>
      </c>
      <c r="N12" s="34" t="n">
        <v>53.911</v>
      </c>
      <c r="X12" s="34" t="n">
        <v>-202.968</v>
      </c>
      <c r="Y12" s="34" t="n">
        <v>-22.734</v>
      </c>
      <c r="Z12" s="34" t="n">
        <v>-1009.105</v>
      </c>
    </row>
    <row r="13">
      <c r="B13" s="10" t="inlineStr">
        <is>
          <t>Net Loss (filed)</t>
        </is>
      </c>
      <c r="G13" s="34" t="n">
        <v>0.385</v>
      </c>
      <c r="H13" s="34" t="n">
        <v>-22.026</v>
      </c>
      <c r="I13" s="34" t="n">
        <v>-19.606</v>
      </c>
      <c r="J13" s="34" t="n">
        <v>12.939</v>
      </c>
      <c r="K13" s="34" t="n">
        <v>-923.376</v>
      </c>
      <c r="L13" s="34" t="n">
        <v>-54.722</v>
      </c>
      <c r="M13" s="34" t="n">
        <v>-44.777</v>
      </c>
      <c r="N13" s="34" t="n">
        <v>53.456</v>
      </c>
      <c r="X13" s="34" t="n">
        <v>-203.202</v>
      </c>
      <c r="Y13" s="34" t="n">
        <v>-25.344</v>
      </c>
      <c r="Z13" s="34" t="n">
        <v>-1009.936</v>
      </c>
    </row>
    <row r="14"/>
    <row r="15"/>
    <row r="16"/>
    <row r="17"/>
    <row r="18"/>
    <row r="19">
      <c r="B19" s="10" t="inlineStr">
        <is>
          <t>Total Current Assets (filed)</t>
        </is>
      </c>
      <c r="G19" s="44" t="n"/>
      <c r="H19" s="44" t="n"/>
      <c r="I19" s="44" t="n"/>
      <c r="J19" s="34" t="n">
        <v>1265.83</v>
      </c>
      <c r="K19" s="34" t="n">
        <v>1736.079</v>
      </c>
      <c r="L19" s="34" t="n">
        <v>1758.897</v>
      </c>
      <c r="M19" s="34" t="n">
        <v>1756.01</v>
      </c>
      <c r="N19" s="34" t="n">
        <v>1744.261</v>
      </c>
      <c r="X19" s="44" t="n"/>
      <c r="Y19" s="34" t="n">
        <v>1287.036</v>
      </c>
      <c r="Z19" s="34" t="n">
        <v>1756.01</v>
      </c>
    </row>
    <row r="20">
      <c r="B20" s="10" t="inlineStr">
        <is>
          <t>Total Assets (filed)</t>
        </is>
      </c>
      <c r="G20" s="44" t="n"/>
      <c r="H20" s="44" t="n"/>
      <c r="I20" s="44" t="n"/>
      <c r="J20" s="34" t="n">
        <v>1435.999</v>
      </c>
      <c r="K20" s="34" t="n">
        <v>1902.474</v>
      </c>
      <c r="L20" s="34" t="n">
        <v>1962.311</v>
      </c>
      <c r="M20" s="34" t="n">
        <v>1964.605</v>
      </c>
      <c r="N20" s="34" t="n">
        <v>1950.383</v>
      </c>
      <c r="X20" s="44" t="n"/>
      <c r="Y20" s="34" t="n">
        <v>1461.037</v>
      </c>
      <c r="Z20" s="34" t="n">
        <v>1964.605</v>
      </c>
    </row>
    <row r="21">
      <c r="B21" s="10" t="inlineStr">
        <is>
          <t>Total Current Liabilities (filed)</t>
        </is>
      </c>
      <c r="G21" s="44" t="n"/>
      <c r="H21" s="44" t="n"/>
      <c r="I21" s="44" t="n"/>
      <c r="J21" s="34" t="n">
        <v>333.545</v>
      </c>
      <c r="K21" s="34" t="n">
        <v>359.698</v>
      </c>
      <c r="L21" s="34" t="n">
        <v>355.915</v>
      </c>
      <c r="M21" s="34" t="n">
        <v>387.924</v>
      </c>
      <c r="N21" s="34" t="n">
        <v>344.099</v>
      </c>
      <c r="X21" s="44" t="n"/>
      <c r="Y21" s="34" t="n">
        <v>374.817</v>
      </c>
      <c r="Z21" s="34" t="n">
        <v>387.924</v>
      </c>
    </row>
    <row r="22">
      <c r="B22" s="10" t="inlineStr">
        <is>
          <t>Total Liabilities (filed)</t>
        </is>
      </c>
      <c r="G22" s="44" t="n"/>
      <c r="H22" s="44" t="n"/>
      <c r="I22" s="44" t="n"/>
      <c r="J22" s="34" t="n">
        <v>453.982</v>
      </c>
      <c r="K22" s="34" t="n">
        <v>474.376</v>
      </c>
      <c r="L22" s="34" t="n">
        <v>519.037</v>
      </c>
      <c r="M22" s="34" t="n">
        <v>562.899</v>
      </c>
      <c r="N22" s="34" t="n">
        <v>508.941</v>
      </c>
      <c r="X22" s="44" t="n"/>
      <c r="Y22" s="34" t="n">
        <v>501.516</v>
      </c>
      <c r="Z22" s="34" t="n">
        <v>562.899</v>
      </c>
    </row>
    <row r="23">
      <c r="B23" s="10" t="inlineStr">
        <is>
          <t>Total Stockholders' Equity (filed)</t>
        </is>
      </c>
      <c r="G23" s="44" t="n"/>
      <c r="H23" s="44" t="n"/>
      <c r="I23" s="44" t="n"/>
      <c r="J23" s="34" t="n">
        <v>-1908.104</v>
      </c>
      <c r="K23" s="34" t="n">
        <v>1428.098</v>
      </c>
      <c r="L23" s="34" t="n">
        <v>1443.274</v>
      </c>
      <c r="M23" s="34" t="n">
        <v>1401.706</v>
      </c>
      <c r="N23" s="34" t="n">
        <v>1441.442</v>
      </c>
      <c r="X23" s="44" t="n"/>
      <c r="Y23" s="34" t="n">
        <v>-1930.6</v>
      </c>
      <c r="Z23" s="34" t="n">
        <v>1401.706</v>
      </c>
    </row>
    <row r="24">
      <c r="B24" s="10" t="inlineStr">
        <is>
          <t>Total L&amp;E (filed)</t>
        </is>
      </c>
      <c r="G24" s="44" t="n"/>
      <c r="H24" s="44" t="n"/>
      <c r="I24" s="44" t="n"/>
      <c r="J24" s="34" t="n">
        <v>1435.999</v>
      </c>
      <c r="K24" s="34" t="n">
        <v>1902.474</v>
      </c>
      <c r="L24" s="34" t="n">
        <v>1962.311</v>
      </c>
      <c r="M24" s="34" t="n">
        <v>1964.605</v>
      </c>
      <c r="N24" s="34" t="n">
        <v>1950.383</v>
      </c>
      <c r="X24" s="44" t="n"/>
      <c r="Y24" s="34" t="n">
        <v>1461.037</v>
      </c>
      <c r="Z24" s="34" t="n">
        <v>1964.605</v>
      </c>
    </row>
    <row r="25"/>
    <row r="26"/>
    <row r="27"/>
    <row r="28"/>
    <row r="29"/>
    <row r="30">
      <c r="B30" s="10" t="inlineStr">
        <is>
          <t>CFO (filed)</t>
        </is>
      </c>
      <c r="G30" s="34" t="n">
        <v>-1.322</v>
      </c>
      <c r="H30" s="34" t="n">
        <v>-24.928</v>
      </c>
      <c r="I30" s="34" t="n">
        <v>18.231</v>
      </c>
      <c r="J30" s="34" t="n">
        <v>-25.751</v>
      </c>
      <c r="K30" s="34" t="n">
        <v>28.494</v>
      </c>
      <c r="L30" s="34" t="n">
        <v>17.484</v>
      </c>
      <c r="M30" s="34" t="n">
        <v>32.553</v>
      </c>
      <c r="N30" s="34" t="n">
        <v>87.479</v>
      </c>
      <c r="X30" s="34" t="n">
        <v>-156.594</v>
      </c>
      <c r="Y30" s="34" t="n">
        <v>64.14</v>
      </c>
      <c r="Z30" s="34" t="n">
        <v>52.78</v>
      </c>
    </row>
    <row r="31">
      <c r="B31" s="10" t="inlineStr">
        <is>
          <t>CFI (filed)</t>
        </is>
      </c>
      <c r="G31" s="34" t="n">
        <v>0.481</v>
      </c>
      <c r="H31" s="34" t="n">
        <v>0.388</v>
      </c>
      <c r="I31" s="34" t="n">
        <v>50.445</v>
      </c>
      <c r="J31" s="34" t="n">
        <v>6.701</v>
      </c>
      <c r="K31" s="34" t="n">
        <v>72.425</v>
      </c>
      <c r="L31" s="34" t="n">
        <v>-423.609</v>
      </c>
      <c r="M31" s="34" t="n">
        <v>54.795</v>
      </c>
      <c r="N31" s="34" t="n">
        <v>127.305</v>
      </c>
      <c r="X31" s="34" t="n">
        <v>167.012</v>
      </c>
      <c r="Y31" s="34" t="n">
        <v>45.659</v>
      </c>
      <c r="Z31" s="34" t="n">
        <v>-289.688</v>
      </c>
    </row>
    <row r="32">
      <c r="B32" s="10" t="inlineStr">
        <is>
          <t>CFF (filed)</t>
        </is>
      </c>
      <c r="G32" s="34" t="n">
        <v>-0.172</v>
      </c>
      <c r="H32" s="34" t="n">
        <v>-0.05</v>
      </c>
      <c r="I32" s="34" t="n">
        <v>0.499</v>
      </c>
      <c r="J32" s="34" t="n">
        <v>-0.126</v>
      </c>
      <c r="K32" s="34" t="n">
        <v>450.056</v>
      </c>
      <c r="L32" s="34" t="n">
        <v>-16.972</v>
      </c>
      <c r="M32" s="34" t="n">
        <v>-65.29000000000001</v>
      </c>
      <c r="N32" s="34" t="n">
        <v>-73.357</v>
      </c>
      <c r="X32" s="34" t="n">
        <v>0.842</v>
      </c>
      <c r="Y32" s="34" t="n">
        <v>0.456</v>
      </c>
      <c r="Z32" s="34" t="n">
        <v>367.668</v>
      </c>
    </row>
    <row r="33">
      <c r="B33" s="10" t="inlineStr">
        <is>
          <t>Net change in cash (filed)</t>
        </is>
      </c>
      <c r="G33" s="34" t="n">
        <v>-1.013</v>
      </c>
      <c r="H33" s="34" t="n">
        <v>-24.59</v>
      </c>
      <c r="I33" s="34" t="n">
        <v>69.175</v>
      </c>
      <c r="J33" s="34" t="n">
        <v>-19.176</v>
      </c>
      <c r="K33" s="34" t="n">
        <v>550.975</v>
      </c>
      <c r="L33" s="34" t="n">
        <v>-423.097</v>
      </c>
      <c r="M33" s="34" t="n">
        <v>22.058</v>
      </c>
      <c r="N33" s="34" t="n">
        <v>141.427</v>
      </c>
      <c r="X33" s="34" t="n">
        <v>11.26</v>
      </c>
      <c r="Y33" s="34" t="n">
        <v>110.255</v>
      </c>
      <c r="Z33" s="34" t="n">
        <v>130.76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0070C0"/>
    <outlinePr summaryBelow="1" summaryRight="1"/>
    <pageSetUpPr/>
  </sheetPr>
  <dimension ref="A1:F14"/>
  <sheetViews>
    <sheetView showGridLines="0" zoomScale="85" workbookViewId="0">
      <selection activeCell="A1" sqref="A1"/>
    </sheetView>
  </sheetViews>
  <sheetFormatPr baseColWidth="8" defaultRowHeight="15"/>
  <cols>
    <col width="1.7" customWidth="1" min="1" max="1"/>
    <col width="2.4" customWidth="1" min="2" max="2"/>
    <col width="25" customWidth="1" min="3" max="3"/>
    <col width="1.7" customWidth="1" min="4" max="4"/>
    <col width="4" customWidth="1" min="5" max="5"/>
    <col width="35" customWidth="1" min="6" max="6"/>
  </cols>
  <sheetData>
    <row r="1"/>
    <row r="2"/>
    <row r="3">
      <c r="A3" s="9" t="inlineStr">
        <is>
          <t>x</t>
        </is>
      </c>
      <c r="B3" s="10" t="inlineStr">
        <is>
          <t>Company Name</t>
        </is>
      </c>
      <c r="F3" s="31" t="inlineStr">
        <is>
          <t>Chime Financial, Inc.</t>
        </is>
      </c>
    </row>
    <row r="4"/>
    <row r="5">
      <c r="B5" t="inlineStr">
        <is>
          <t>Sub-header</t>
        </is>
      </c>
      <c r="F5" s="31" t="inlineStr">
        <is>
          <t>Dollars in millions, except per share</t>
        </is>
      </c>
    </row>
    <row r="6"/>
    <row r="7">
      <c r="B7" t="inlineStr">
        <is>
          <t>Last Fiscal Year End</t>
        </is>
      </c>
      <c r="F7" s="32" t="n">
        <v>46022</v>
      </c>
    </row>
    <row r="8"/>
    <row r="9">
      <c r="B9" t="inlineStr">
        <is>
          <t>Today</t>
        </is>
      </c>
      <c r="F9" s="30" t="n">
        <v>46167.71713716435</v>
      </c>
    </row>
    <row r="10"/>
    <row r="11"/>
    <row r="12">
      <c r="B12" t="inlineStr">
        <is>
          <t>Minimum Cash %</t>
        </is>
      </c>
      <c r="F12" s="42" t="n">
        <v>0.2</v>
      </c>
    </row>
    <row r="13"/>
    <row r="14">
      <c r="A14" s="9" t="inlineStr">
        <is>
          <t>x</t>
        </is>
      </c>
      <c r="B14" s="10" t="inlineStr">
        <is>
          <t>By Aardvark Labs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2026-05-26T00:12:40Z</dcterms:created>
  <dcterms:modified xmlns:dcterms="http://purl.org/dc/terms/" xmlns:xsi="http://www.w3.org/2001/XMLSchema-instance" xsi:type="dcterms:W3CDTF">2026-05-26T00:12:41Z</dcterms:modified>
</cp:coreProperties>
</file>