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&quot;$&quot;#,##0.0_);(&quot;$&quot;#,##0.0)"/>
    <numFmt numFmtId="165" formatCode="#,##0.000_);(#,##0.000)"/>
    <numFmt numFmtId="166" formatCode="#,##0.0_);(#,##0.0)"/>
    <numFmt numFmtId="167" formatCode="#,##0.0%_);(#,##0.0%)"/>
    <numFmt numFmtId="168" formatCode="0.00&quot;x&quot;"/>
    <numFmt numFmtId="169" formatCode="0.0&quot; M&quot;"/>
    <numFmt numFmtId="170" formatCode="&quot;$&quot;#,##0.0"/>
  </numFmts>
  <fonts count="13">
    <font>
      <name val="Calibri"/>
      <family val="2"/>
      <color theme="1"/>
      <sz val="11"/>
      <scheme val="minor"/>
    </font>
    <font>
      <name val="Arial"/>
      <color rgb="00FF0000"/>
      <sz val="7"/>
    </font>
    <font>
      <name val="Arial"/>
      <b val="1"/>
      <color rgb="00000000"/>
      <sz val="10"/>
    </font>
    <font>
      <name val="Arial"/>
      <color rgb="003366FF"/>
      <sz val="10"/>
    </font>
    <font>
      <name val="Arial"/>
      <b val="1"/>
      <color rgb="00000000"/>
      <sz val="12"/>
    </font>
    <font>
      <name val="Arial"/>
      <i val="1"/>
      <color rgb="00808080"/>
      <sz val="10"/>
    </font>
    <font>
      <name val="Arial"/>
      <b val="1"/>
      <color rgb="00000000"/>
      <sz val="14"/>
    </font>
    <font>
      <name val="Arial"/>
      <i val="1"/>
      <color rgb="00000000"/>
      <sz val="10"/>
    </font>
    <font>
      <name val="Arial"/>
      <color rgb="00000000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color rgb="0000AA00"/>
      <sz val="10"/>
    </font>
    <font>
      <name val="Arial"/>
      <b val="1"/>
      <color rgb="00FF0000"/>
      <sz val="10"/>
    </font>
  </fonts>
  <fills count="5">
    <fill>
      <patternFill/>
    </fill>
    <fill>
      <patternFill patternType="gray125"/>
    </fill>
    <fill>
      <patternFill patternType="solid">
        <fgColor rgb="00003082"/>
      </patternFill>
    </fill>
    <fill>
      <patternFill patternType="solid">
        <fgColor rgb="000E7C3F"/>
      </patternFill>
    </fill>
    <fill>
      <patternFill patternType="solid">
        <fgColor rgb="00B45309"/>
      </patternFill>
    </fill>
  </fills>
  <borders count="2">
    <border>
      <left/>
      <right/>
      <top/>
      <bottom/>
      <diagonal/>
    </border>
    <border>
      <top style="thin">
        <color rgb="00000000"/>
      </top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applyAlignment="1" pivotButton="0" quotePrefix="0" xfId="0">
      <alignment horizontal="center"/>
    </xf>
    <xf numFmtId="0" fontId="9" fillId="2" borderId="0" applyAlignment="1" pivotButton="0" quotePrefix="0" xfId="0">
      <alignment horizontal="centerContinuous"/>
    </xf>
    <xf numFmtId="0" fontId="2" fillId="0" borderId="0" applyAlignment="1" pivotButton="0" quotePrefix="0" xfId="0">
      <alignment horizontal="center"/>
    </xf>
    <xf numFmtId="14" fontId="8" fillId="0" borderId="0" applyAlignment="1" pivotButton="0" quotePrefix="0" xfId="0">
      <alignment horizontal="center"/>
    </xf>
    <xf numFmtId="0" fontId="10" fillId="2" borderId="0" applyAlignment="1" pivotButton="0" quotePrefix="0" xfId="0">
      <alignment horizontal="centerContinuous"/>
    </xf>
    <xf numFmtId="0" fontId="5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3" fillId="0" borderId="0" pivotButton="0" quotePrefix="0" xfId="0"/>
    <xf numFmtId="0" fontId="8" fillId="0" borderId="0" pivotButton="0" quotePrefix="0" xfId="0"/>
    <xf numFmtId="164" fontId="2" fillId="0" borderId="1" pivotButton="0" quotePrefix="0" xfId="0"/>
    <xf numFmtId="165" fontId="11" fillId="0" borderId="0" pivotButton="0" quotePrefix="0" xfId="0"/>
    <xf numFmtId="166" fontId="3" fillId="0" borderId="0" pivotButton="0" quotePrefix="0" xfId="0"/>
    <xf numFmtId="164" fontId="8" fillId="0" borderId="0" pivotButton="0" quotePrefix="0" xfId="0"/>
    <xf numFmtId="7" fontId="3" fillId="0" borderId="0" pivotButton="0" quotePrefix="0" xfId="0"/>
    <xf numFmtId="167" fontId="8" fillId="0" borderId="0" pivotButton="0" quotePrefix="0" xfId="0"/>
    <xf numFmtId="167" fontId="0" fillId="0" borderId="0" pivotButton="0" quotePrefix="0" xfId="0"/>
    <xf numFmtId="167" fontId="3" fillId="0" borderId="0" pivotButton="0" quotePrefix="0" xfId="0"/>
    <xf numFmtId="0" fontId="10" fillId="3" borderId="0" applyAlignment="1" pivotButton="0" quotePrefix="0" xfId="0">
      <alignment horizontal="centerContinuous"/>
    </xf>
    <xf numFmtId="164" fontId="0" fillId="0" borderId="0" pivotButton="0" quotePrefix="0" xfId="0"/>
    <xf numFmtId="0" fontId="12" fillId="0" borderId="0" pivotButton="0" quotePrefix="0" xfId="0"/>
    <xf numFmtId="165" fontId="12" fillId="0" borderId="0" pivotButton="0" quotePrefix="0" xfId="0"/>
    <xf numFmtId="168" fontId="8" fillId="0" borderId="0" pivotButton="0" quotePrefix="0" xfId="0"/>
    <xf numFmtId="164" fontId="2" fillId="0" borderId="0" pivotButton="0" quotePrefix="0" xfId="0"/>
    <xf numFmtId="0" fontId="10" fillId="4" borderId="0" applyAlignment="1" pivotButton="0" quotePrefix="0" xfId="0">
      <alignment horizontal="centerContinuous"/>
    </xf>
    <xf numFmtId="164" fontId="11" fillId="0" borderId="0" pivotButton="0" quotePrefix="0" xfId="0"/>
    <xf numFmtId="0" fontId="4" fillId="0" borderId="0" pivotButton="0" quotePrefix="0" xfId="0"/>
    <xf numFmtId="14" fontId="0" fillId="0" borderId="0" pivotButton="0" quotePrefix="0" xfId="0"/>
    <xf numFmtId="0" fontId="3" fillId="0" borderId="0" pivotButton="0" quotePrefix="0" xfId="0"/>
    <xf numFmtId="14" fontId="3" fillId="0" borderId="0" pivotButton="0" quotePrefix="0" xfId="0"/>
    <xf numFmtId="164" fontId="3" fillId="0" borderId="0" pivotButton="0" quotePrefix="0" xfId="0"/>
    <xf numFmtId="164" fontId="8" fillId="0" borderId="0" pivotButton="0" quotePrefix="0" xfId="0"/>
    <xf numFmtId="164" fontId="2" fillId="0" borderId="1" pivotButton="0" quotePrefix="0" xfId="0"/>
    <xf numFmtId="165" fontId="11" fillId="0" borderId="0" pivotButton="0" quotePrefix="0" xfId="0"/>
    <xf numFmtId="166" fontId="3" fillId="0" borderId="0" pivotButton="0" quotePrefix="0" xfId="0"/>
    <xf numFmtId="166" fontId="8" fillId="0" borderId="0" pivotButton="0" quotePrefix="0" xfId="0"/>
    <xf numFmtId="7" fontId="8" fillId="0" borderId="0" pivotButton="0" quotePrefix="0" xfId="0"/>
    <xf numFmtId="167" fontId="8" fillId="0" borderId="0" pivotButton="0" quotePrefix="0" xfId="0"/>
    <xf numFmtId="167" fontId="3" fillId="0" borderId="0" pivotButton="0" quotePrefix="0" xfId="0"/>
    <xf numFmtId="167" fontId="0" fillId="0" borderId="0" pivotButton="0" quotePrefix="0" xfId="0"/>
    <xf numFmtId="164" fontId="0" fillId="0" borderId="0" pivotButton="0" quotePrefix="0" xfId="0"/>
    <xf numFmtId="165" fontId="12" fillId="0" borderId="0" pivotButton="0" quotePrefix="0" xfId="0"/>
    <xf numFmtId="168" fontId="8" fillId="0" borderId="0" pivotButton="0" quotePrefix="0" xfId="0"/>
    <xf numFmtId="164" fontId="2" fillId="0" borderId="0" pivotButton="0" quotePrefix="0" xfId="0"/>
    <xf numFmtId="164" fontId="11" fillId="0" borderId="0" pivotButton="0" quotePrefix="0" xfId="0"/>
    <xf numFmtId="169" fontId="3" fillId="0" borderId="0" pivotButton="0" quotePrefix="0" xfId="0"/>
    <xf numFmtId="170" fontId="8" fillId="0" borderId="0" pivotButton="0" quotePrefix="0" xfId="0"/>
    <xf numFmtId="170" fontId="3" fillId="0" borderId="0" pivotButton="0" quotePrefix="0" xfId="0"/>
    <xf numFmtId="0" fontId="10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2B5B"/>
    <outlinePr summaryBelow="1" summaryRight="1"/>
    <pageSetUpPr/>
  </sheetPr>
  <dimension ref="A1:AF240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.7" customWidth="1" min="1" max="1"/>
    <col width="2.4" customWidth="1" min="2" max="2"/>
    <col width="2.4" customWidth="1" min="3" max="3"/>
    <col width="52" customWidth="1" min="4" max="4"/>
    <col width="4" customWidth="1" min="5" max="5"/>
    <col width="1.7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.7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.7" customWidth="1" min="26" max="26"/>
    <col width="10" customWidth="1" min="27" max="27"/>
    <col width="10" customWidth="1" min="28" max="28"/>
  </cols>
  <sheetData>
    <row r="1">
      <c r="B1" s="1">
        <f>"Income Statement, Balance Sheet, and Cash Flow Statement for "&amp;Name</f>
        <v/>
      </c>
    </row>
    <row r="2">
      <c r="B2" s="2">
        <f>Subheader</f>
        <v/>
      </c>
    </row>
    <row r="3">
      <c r="AA3" s="3">
        <f>R5&amp;" - "&amp;Y5</f>
        <v/>
      </c>
    </row>
    <row r="4">
      <c r="B4" s="4" t="n"/>
      <c r="C4" s="4" t="n"/>
      <c r="D4" s="4" t="n"/>
      <c r="E4" s="4" t="n"/>
      <c r="F4" s="4" t="n"/>
      <c r="G4" s="4" t="inlineStr">
        <is>
          <t>Historical Quarters</t>
        </is>
      </c>
      <c r="H4" s="4" t="n"/>
      <c r="I4" s="4" t="inlineStr">
        <is>
          <t>Projected Quarters</t>
        </is>
      </c>
      <c r="J4" s="4" t="n"/>
      <c r="K4" s="4" t="n"/>
      <c r="L4" s="4" t="n"/>
      <c r="M4" s="4" t="n"/>
      <c r="N4" s="4" t="n"/>
      <c r="O4" s="4" t="n"/>
      <c r="P4" s="4" t="n"/>
      <c r="R4" s="4" t="inlineStr">
        <is>
          <t>Historical Annuals</t>
        </is>
      </c>
      <c r="S4" s="4" t="n"/>
      <c r="T4" s="4" t="n"/>
      <c r="U4" s="4" t="inlineStr">
        <is>
          <t>Projected Annuals</t>
        </is>
      </c>
      <c r="V4" s="4" t="n"/>
      <c r="W4" s="4" t="n"/>
      <c r="X4" s="4" t="n"/>
      <c r="Y4" s="4" t="n"/>
      <c r="AA4" s="5" t="inlineStr">
        <is>
          <t>CAGR</t>
        </is>
      </c>
      <c r="AB4" s="5" t="inlineStr">
        <is>
          <t>Step</t>
        </is>
      </c>
    </row>
    <row r="5">
      <c r="G5" s="5" t="inlineStr">
        <is>
          <t>1Q25</t>
        </is>
      </c>
      <c r="H5" s="5" t="inlineStr">
        <is>
          <t>1Q26</t>
        </is>
      </c>
      <c r="I5" s="5" t="inlineStr">
        <is>
          <t>2Q26</t>
        </is>
      </c>
      <c r="J5" s="5" t="inlineStr">
        <is>
          <t>3Q26</t>
        </is>
      </c>
      <c r="K5" s="5" t="inlineStr">
        <is>
          <t>4Q26E</t>
        </is>
      </c>
      <c r="L5" s="5" t="inlineStr">
        <is>
          <t>1Q27E</t>
        </is>
      </c>
      <c r="M5" s="5" t="inlineStr">
        <is>
          <t>2Q27E</t>
        </is>
      </c>
      <c r="N5" s="5" t="inlineStr">
        <is>
          <t>3Q27E</t>
        </is>
      </c>
      <c r="O5" s="5" t="inlineStr">
        <is>
          <t>4Q27E</t>
        </is>
      </c>
      <c r="P5" s="5" t="inlineStr">
        <is>
          <t>1Q28E</t>
        </is>
      </c>
      <c r="R5" s="5" t="n">
        <v>2023</v>
      </c>
      <c r="S5" s="5" t="n">
        <v>2024</v>
      </c>
      <c r="T5" s="5" t="n">
        <v>2025</v>
      </c>
      <c r="U5" s="5" t="inlineStr">
        <is>
          <t>2026E</t>
        </is>
      </c>
      <c r="V5" s="5" t="inlineStr">
        <is>
          <t>2027E</t>
        </is>
      </c>
      <c r="W5" s="5" t="inlineStr">
        <is>
          <t>2028E</t>
        </is>
      </c>
      <c r="X5" s="5" t="inlineStr">
        <is>
          <t>2029E</t>
        </is>
      </c>
      <c r="Y5" s="5" t="inlineStr">
        <is>
          <t>2030E</t>
        </is>
      </c>
    </row>
    <row r="6">
      <c r="G6" s="6" t="n">
        <v>45747</v>
      </c>
      <c r="H6" s="6" t="n">
        <v>46112</v>
      </c>
      <c r="I6" s="6" t="n">
        <v>46203</v>
      </c>
      <c r="J6" s="6" t="n">
        <v>46295</v>
      </c>
      <c r="K6" s="6" t="n">
        <v>46387</v>
      </c>
      <c r="L6" s="6" t="n">
        <v>46477</v>
      </c>
      <c r="M6" s="6" t="n">
        <v>46568</v>
      </c>
      <c r="N6" s="6" t="n">
        <v>46660</v>
      </c>
      <c r="O6" s="6" t="n">
        <v>46752</v>
      </c>
      <c r="P6" s="6" t="n">
        <v>46843</v>
      </c>
      <c r="R6" s="6" t="n">
        <v>45291</v>
      </c>
      <c r="S6" s="6" t="n">
        <v>45657</v>
      </c>
      <c r="T6" s="6" t="n">
        <v>46022</v>
      </c>
      <c r="U6" s="6" t="n">
        <v>46387</v>
      </c>
      <c r="V6" s="6" t="n">
        <v>46752</v>
      </c>
      <c r="W6" s="6" t="n">
        <v>47118</v>
      </c>
      <c r="X6" s="6" t="n">
        <v>47483</v>
      </c>
      <c r="Y6" s="6" t="n">
        <v>47848</v>
      </c>
    </row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R8" s="7" t="n"/>
      <c r="S8" s="7" t="n"/>
      <c r="T8" s="7" t="n"/>
      <c r="U8" s="7" t="n"/>
      <c r="V8" s="7" t="n"/>
      <c r="W8" s="7" t="n"/>
      <c r="X8" s="7" t="n"/>
      <c r="Y8" s="7" t="n"/>
    </row>
    <row r="9">
      <c r="C9" s="8" t="inlineStr">
        <is>
          <t>Source: 424B4 (filed 2026-07-01; IPO priced $29.00). IFRS, USD. Q1'25 &amp; Q1'26 are the only interim quarters disclosed (IAS 34). 'Less:' = expense NEGATIVE.</t>
        </is>
      </c>
    </row>
    <row r="10">
      <c r="A10" s="9" t="inlineStr">
        <is>
          <t>x</t>
        </is>
      </c>
      <c r="B10" s="10" t="inlineStr">
        <is>
          <t>Revenue</t>
        </is>
      </c>
      <c r="G10" s="33" t="n">
        <v>258.946</v>
      </c>
      <c r="H10" s="33" t="n">
        <v>601.321</v>
      </c>
      <c r="I10" s="34">
        <f>I76</f>
        <v/>
      </c>
      <c r="J10" s="34">
        <f>J76</f>
        <v/>
      </c>
      <c r="K10" s="34">
        <f>K76</f>
        <v/>
      </c>
      <c r="L10" s="34">
        <f>L76</f>
        <v/>
      </c>
      <c r="M10" s="34">
        <f>M76</f>
        <v/>
      </c>
      <c r="N10" s="34">
        <f>N76</f>
        <v/>
      </c>
      <c r="O10" s="34">
        <f>O76</f>
        <v/>
      </c>
      <c r="P10" s="34">
        <f>P76</f>
        <v/>
      </c>
      <c r="R10" s="33" t="n">
        <v>387.067</v>
      </c>
      <c r="S10" s="33" t="n">
        <v>671.053</v>
      </c>
      <c r="T10" s="33" t="n">
        <v>1306.404</v>
      </c>
      <c r="U10" s="34">
        <f>H10+I10+J10+K10</f>
        <v/>
      </c>
      <c r="V10" s="34">
        <f>L10+M10+N10+O10</f>
        <v/>
      </c>
      <c r="W10" s="34">
        <f>W76</f>
        <v/>
      </c>
      <c r="X10" s="34">
        <f>X76</f>
        <v/>
      </c>
      <c r="Y10" s="34">
        <f>Y76</f>
        <v/>
      </c>
    </row>
    <row r="11"/>
    <row r="12">
      <c r="D12" s="12" t="inlineStr">
        <is>
          <t>Less: Cost of Revenue</t>
        </is>
      </c>
      <c r="G12" s="33" t="n">
        <v>-93.503</v>
      </c>
      <c r="H12" s="33" t="n">
        <v>-193.117</v>
      </c>
      <c r="I12" s="34">
        <f>-I10*I52</f>
        <v/>
      </c>
      <c r="J12" s="34">
        <f>-J10*J52</f>
        <v/>
      </c>
      <c r="K12" s="34">
        <f>-K10*K52</f>
        <v/>
      </c>
      <c r="L12" s="34">
        <f>-L10*L52</f>
        <v/>
      </c>
      <c r="M12" s="34">
        <f>-M10*M52</f>
        <v/>
      </c>
      <c r="N12" s="34">
        <f>-N10*N52</f>
        <v/>
      </c>
      <c r="O12" s="34">
        <f>-O10*O52</f>
        <v/>
      </c>
      <c r="P12" s="34">
        <f>-P10*P52</f>
        <v/>
      </c>
      <c r="R12" s="33" t="n">
        <v>-150.55</v>
      </c>
      <c r="S12" s="33" t="n">
        <v>-242.202</v>
      </c>
      <c r="T12" s="33" t="n">
        <v>-449.134</v>
      </c>
      <c r="U12" s="34">
        <f>H12+I12+J12+K12</f>
        <v/>
      </c>
      <c r="V12" s="34">
        <f>L12+M12+N12+O12</f>
        <v/>
      </c>
      <c r="W12" s="34">
        <f>-W10*W52</f>
        <v/>
      </c>
      <c r="X12" s="34">
        <f>-X10*X52</f>
        <v/>
      </c>
      <c r="Y12" s="34">
        <f>-Y10*Y52</f>
        <v/>
      </c>
    </row>
    <row r="13"/>
    <row r="14">
      <c r="A14" s="9" t="inlineStr">
        <is>
          <t>x</t>
        </is>
      </c>
      <c r="B14" s="10" t="inlineStr">
        <is>
          <t>Gross Profit</t>
        </is>
      </c>
      <c r="G14" s="35">
        <f>SUM(G10:G12)</f>
        <v/>
      </c>
      <c r="H14" s="35">
        <f>SUM(H10:H12)</f>
        <v/>
      </c>
      <c r="I14" s="35">
        <f>SUM(I10:I12)</f>
        <v/>
      </c>
      <c r="J14" s="35">
        <f>SUM(J10:J12)</f>
        <v/>
      </c>
      <c r="K14" s="35">
        <f>SUM(K10:K12)</f>
        <v/>
      </c>
      <c r="L14" s="35">
        <f>SUM(L10:L12)</f>
        <v/>
      </c>
      <c r="M14" s="35">
        <f>SUM(M10:M12)</f>
        <v/>
      </c>
      <c r="N14" s="35">
        <f>SUM(N10:N12)</f>
        <v/>
      </c>
      <c r="O14" s="35">
        <f>SUM(O10:O12)</f>
        <v/>
      </c>
      <c r="P14" s="35">
        <f>SUM(P10:P12)</f>
        <v/>
      </c>
      <c r="R14" s="35">
        <f>SUM(R10:R12)</f>
        <v/>
      </c>
      <c r="S14" s="35">
        <f>SUM(S10:S12)</f>
        <v/>
      </c>
      <c r="T14" s="35">
        <f>SUM(T10:T12)</f>
        <v/>
      </c>
      <c r="U14" s="35">
        <f>H14+I14+J14+K14</f>
        <v/>
      </c>
      <c r="V14" s="35">
        <f>L14+M14+N14+O14</f>
        <v/>
      </c>
      <c r="W14" s="35">
        <f>SUM(W10:W12)</f>
        <v/>
      </c>
      <c r="X14" s="35">
        <f>SUM(X10:X12)</f>
        <v/>
      </c>
      <c r="Y14" s="35">
        <f>SUM(Y10:Y12)</f>
        <v/>
      </c>
    </row>
    <row r="15">
      <c r="D15" s="8" t="inlineStr">
        <is>
          <t>Reconciliation: variance vs. as-reported</t>
        </is>
      </c>
      <c r="G15" s="36">
        <f>IF(_reported!G9="","",G14-_reported!G9)</f>
        <v/>
      </c>
      <c r="H15" s="36">
        <f>IF(_reported!H9="","",H14-_reported!H9)</f>
        <v/>
      </c>
      <c r="R15" s="36">
        <f>IF(_reported!R9="","",R14-_reported!R9)</f>
        <v/>
      </c>
      <c r="S15" s="36">
        <f>IF(_reported!S9="","",S14-_reported!S9)</f>
        <v/>
      </c>
      <c r="T15" s="36">
        <f>IF(_reported!T9="","",T14-_reported!T9)</f>
        <v/>
      </c>
    </row>
    <row r="16"/>
    <row r="17">
      <c r="D17" s="12" t="inlineStr">
        <is>
          <t>Less: Research &amp; Development</t>
        </is>
      </c>
      <c r="G17" s="33" t="n">
        <v>-43.759</v>
      </c>
      <c r="H17" s="33" t="n">
        <v>-94.396</v>
      </c>
      <c r="I17" s="34">
        <f>-I10*I54</f>
        <v/>
      </c>
      <c r="J17" s="34">
        <f>-J10*J54</f>
        <v/>
      </c>
      <c r="K17" s="34">
        <f>-K10*K54</f>
        <v/>
      </c>
      <c r="L17" s="34">
        <f>-L10*L54</f>
        <v/>
      </c>
      <c r="M17" s="34">
        <f>-M10*M54</f>
        <v/>
      </c>
      <c r="N17" s="34">
        <f>-N10*N54</f>
        <v/>
      </c>
      <c r="O17" s="34">
        <f>-O10*O54</f>
        <v/>
      </c>
      <c r="P17" s="34">
        <f>-P10*P54</f>
        <v/>
      </c>
      <c r="R17" s="33" t="n">
        <v>-51.792</v>
      </c>
      <c r="S17" s="33" t="n">
        <v>-92.557</v>
      </c>
      <c r="T17" s="33" t="n">
        <v>-120.737</v>
      </c>
      <c r="U17" s="34">
        <f>H17+I17+J17+K17</f>
        <v/>
      </c>
      <c r="V17" s="34">
        <f>L17+M17+N17+O17</f>
        <v/>
      </c>
      <c r="W17" s="34">
        <f>-W10*W54</f>
        <v/>
      </c>
      <c r="X17" s="34">
        <f>-X10*X54</f>
        <v/>
      </c>
      <c r="Y17" s="34">
        <f>-Y10*Y54</f>
        <v/>
      </c>
    </row>
    <row r="18">
      <c r="D18" s="12" t="inlineStr">
        <is>
          <t>Less: Sales &amp; Marketing</t>
        </is>
      </c>
      <c r="G18" s="37" t="n">
        <v>-37.318</v>
      </c>
      <c r="H18" s="37" t="n">
        <v>-58.551</v>
      </c>
      <c r="I18" s="38">
        <f>-I10*I55</f>
        <v/>
      </c>
      <c r="J18" s="38">
        <f>-J10*J55</f>
        <v/>
      </c>
      <c r="K18" s="38">
        <f>-K10*K55</f>
        <v/>
      </c>
      <c r="L18" s="38">
        <f>-L10*L55</f>
        <v/>
      </c>
      <c r="M18" s="38">
        <f>-M10*M55</f>
        <v/>
      </c>
      <c r="N18" s="38">
        <f>-N10*N55</f>
        <v/>
      </c>
      <c r="O18" s="38">
        <f>-O10*O55</f>
        <v/>
      </c>
      <c r="P18" s="38">
        <f>-P10*P55</f>
        <v/>
      </c>
      <c r="R18" s="37" t="n">
        <v>-42.636</v>
      </c>
      <c r="S18" s="37" t="n">
        <v>-79.191</v>
      </c>
      <c r="T18" s="37" t="n">
        <v>-131.728</v>
      </c>
      <c r="U18" s="38">
        <f>H18+I18+J18+K18</f>
        <v/>
      </c>
      <c r="V18" s="38">
        <f>L18+M18+N18+O18</f>
        <v/>
      </c>
      <c r="W18" s="38">
        <f>-W10*W55</f>
        <v/>
      </c>
      <c r="X18" s="38">
        <f>-X10*X55</f>
        <v/>
      </c>
      <c r="Y18" s="38">
        <f>-Y10*Y55</f>
        <v/>
      </c>
    </row>
    <row r="19">
      <c r="D19" s="12" t="inlineStr">
        <is>
          <t>Less: General &amp; Administrative</t>
        </is>
      </c>
      <c r="G19" s="37" t="n">
        <v>-88.979</v>
      </c>
      <c r="H19" s="37" t="n">
        <v>-135.085</v>
      </c>
      <c r="I19" s="38">
        <f>-I10*I56</f>
        <v/>
      </c>
      <c r="J19" s="38">
        <f>-J10*J56</f>
        <v/>
      </c>
      <c r="K19" s="38">
        <f>-K10*K56</f>
        <v/>
      </c>
      <c r="L19" s="38">
        <f>-L10*L56</f>
        <v/>
      </c>
      <c r="M19" s="38">
        <f>-M10*M56</f>
        <v/>
      </c>
      <c r="N19" s="38">
        <f>-N10*N56</f>
        <v/>
      </c>
      <c r="O19" s="38">
        <f>-O10*O56</f>
        <v/>
      </c>
      <c r="P19" s="38">
        <f>-P10*P56</f>
        <v/>
      </c>
      <c r="R19" s="37" t="n">
        <v>-57.823</v>
      </c>
      <c r="S19" s="37" t="n">
        <v>-129.752</v>
      </c>
      <c r="T19" s="37" t="n">
        <v>-326.953</v>
      </c>
      <c r="U19" s="38">
        <f>H19+I19+J19+K19</f>
        <v/>
      </c>
      <c r="V19" s="38">
        <f>L19+M19+N19+O19</f>
        <v/>
      </c>
      <c r="W19" s="38">
        <f>-W10*W56</f>
        <v/>
      </c>
      <c r="X19" s="38">
        <f>-X10*X56</f>
        <v/>
      </c>
      <c r="Y19" s="38">
        <f>-Y10*Y56</f>
        <v/>
      </c>
    </row>
    <row r="20">
      <c r="C20" s="10" t="inlineStr">
        <is>
          <t>Total Operating Expenses</t>
        </is>
      </c>
      <c r="G20" s="35">
        <f>SUM(G17:G19)</f>
        <v/>
      </c>
      <c r="H20" s="35">
        <f>SUM(H17:H19)</f>
        <v/>
      </c>
      <c r="I20" s="35">
        <f>SUM(I17:I19)</f>
        <v/>
      </c>
      <c r="J20" s="35">
        <f>SUM(J17:J19)</f>
        <v/>
      </c>
      <c r="K20" s="35">
        <f>SUM(K17:K19)</f>
        <v/>
      </c>
      <c r="L20" s="35">
        <f>SUM(L17:L19)</f>
        <v/>
      </c>
      <c r="M20" s="35">
        <f>SUM(M17:M19)</f>
        <v/>
      </c>
      <c r="N20" s="35">
        <f>SUM(N17:N19)</f>
        <v/>
      </c>
      <c r="O20" s="35">
        <f>SUM(O17:O19)</f>
        <v/>
      </c>
      <c r="P20" s="35">
        <f>SUM(P17:P19)</f>
        <v/>
      </c>
      <c r="R20" s="35">
        <f>SUM(R17:R19)</f>
        <v/>
      </c>
      <c r="S20" s="35">
        <f>SUM(S17:S19)</f>
        <v/>
      </c>
      <c r="T20" s="35">
        <f>SUM(T17:T19)</f>
        <v/>
      </c>
      <c r="U20" s="35">
        <f>H20+I20+J20+K20</f>
        <v/>
      </c>
      <c r="V20" s="35">
        <f>L20+M20+N20+O20</f>
        <v/>
      </c>
      <c r="W20" s="35">
        <f>SUM(W17:W19)</f>
        <v/>
      </c>
      <c r="X20" s="35">
        <f>SUM(X17:X19)</f>
        <v/>
      </c>
      <c r="Y20" s="35">
        <f>SUM(Y17:Y19)</f>
        <v/>
      </c>
    </row>
    <row r="21"/>
    <row r="22">
      <c r="A22" s="9" t="inlineStr">
        <is>
          <t>x</t>
        </is>
      </c>
      <c r="B22" s="10" t="inlineStr">
        <is>
          <t>Operating Income (Loss)</t>
        </is>
      </c>
      <c r="G22" s="35">
        <f>G14+G20</f>
        <v/>
      </c>
      <c r="H22" s="35">
        <f>H14+H20</f>
        <v/>
      </c>
      <c r="I22" s="35">
        <f>I14+I20</f>
        <v/>
      </c>
      <c r="J22" s="35">
        <f>J14+J20</f>
        <v/>
      </c>
      <c r="K22" s="35">
        <f>K14+K20</f>
        <v/>
      </c>
      <c r="L22" s="35">
        <f>L14+L20</f>
        <v/>
      </c>
      <c r="M22" s="35">
        <f>M14+M20</f>
        <v/>
      </c>
      <c r="N22" s="35">
        <f>N14+N20</f>
        <v/>
      </c>
      <c r="O22" s="35">
        <f>O14+O20</f>
        <v/>
      </c>
      <c r="P22" s="35">
        <f>P14+P20</f>
        <v/>
      </c>
      <c r="R22" s="35">
        <f>R14+R20</f>
        <v/>
      </c>
      <c r="S22" s="35">
        <f>S14+S20</f>
        <v/>
      </c>
      <c r="T22" s="35">
        <f>T14+T20</f>
        <v/>
      </c>
      <c r="U22" s="35">
        <f>H22+I22+J22+K22</f>
        <v/>
      </c>
      <c r="V22" s="35">
        <f>L22+M22+N22+O22</f>
        <v/>
      </c>
      <c r="W22" s="35">
        <f>W14+W20</f>
        <v/>
      </c>
      <c r="X22" s="35">
        <f>X14+X20</f>
        <v/>
      </c>
      <c r="Y22" s="35">
        <f>Y14+Y20</f>
        <v/>
      </c>
    </row>
    <row r="23">
      <c r="D23" s="8" t="inlineStr">
        <is>
          <t>Reconciliation: variance vs. as-reported</t>
        </is>
      </c>
      <c r="G23" s="36">
        <f>IF(_reported!G10="","",G22-_reported!G10)</f>
        <v/>
      </c>
      <c r="H23" s="36">
        <f>IF(_reported!H10="","",H22-_reported!H10)</f>
        <v/>
      </c>
      <c r="R23" s="36">
        <f>IF(_reported!R10="","",R22-_reported!R10)</f>
        <v/>
      </c>
      <c r="S23" s="36">
        <f>IF(_reported!S10="","",S22-_reported!S10)</f>
        <v/>
      </c>
      <c r="T23" s="36">
        <f>IF(_reported!T10="","",T22-_reported!T10)</f>
        <v/>
      </c>
    </row>
    <row r="24"/>
    <row r="25">
      <c r="C25" s="8" t="inlineStr">
        <is>
          <t>Memo: D&amp;A from CF (positive)</t>
        </is>
      </c>
      <c r="G25" s="34">
        <f>G156+G157</f>
        <v/>
      </c>
      <c r="H25" s="34">
        <f>H156+H157</f>
        <v/>
      </c>
      <c r="I25" s="34">
        <f>I156+I157</f>
        <v/>
      </c>
      <c r="J25" s="34">
        <f>J156+J157</f>
        <v/>
      </c>
      <c r="K25" s="34">
        <f>K156+K157</f>
        <v/>
      </c>
      <c r="L25" s="34">
        <f>L156+L157</f>
        <v/>
      </c>
      <c r="M25" s="34">
        <f>M156+M157</f>
        <v/>
      </c>
      <c r="N25" s="34">
        <f>N156+N157</f>
        <v/>
      </c>
      <c r="O25" s="34">
        <f>O156+O157</f>
        <v/>
      </c>
      <c r="P25" s="34">
        <f>P156+P157</f>
        <v/>
      </c>
      <c r="R25" s="34">
        <f>R156+R157</f>
        <v/>
      </c>
      <c r="S25" s="34">
        <f>S156+S157</f>
        <v/>
      </c>
      <c r="T25" s="34">
        <f>T156+T157</f>
        <v/>
      </c>
      <c r="U25" s="34">
        <f>H25+I25+J25+K25</f>
        <v/>
      </c>
      <c r="V25" s="34">
        <f>L25+M25+N25+O25</f>
        <v/>
      </c>
      <c r="W25" s="34">
        <f>W156+W157</f>
        <v/>
      </c>
      <c r="X25" s="34">
        <f>X156+X157</f>
        <v/>
      </c>
      <c r="Y25" s="34">
        <f>Y156+Y157</f>
        <v/>
      </c>
    </row>
    <row r="26">
      <c r="A26" s="9" t="inlineStr">
        <is>
          <t>x</t>
        </is>
      </c>
      <c r="B26" s="10" t="inlineStr">
        <is>
          <t>EBITDA</t>
        </is>
      </c>
      <c r="G26" s="35">
        <f>G22+G25</f>
        <v/>
      </c>
      <c r="H26" s="35">
        <f>H22+H25</f>
        <v/>
      </c>
      <c r="I26" s="35">
        <f>I22+I25</f>
        <v/>
      </c>
      <c r="J26" s="35">
        <f>J22+J25</f>
        <v/>
      </c>
      <c r="K26" s="35">
        <f>K22+K25</f>
        <v/>
      </c>
      <c r="L26" s="35">
        <f>L22+L25</f>
        <v/>
      </c>
      <c r="M26" s="35">
        <f>M22+M25</f>
        <v/>
      </c>
      <c r="N26" s="35">
        <f>N22+N25</f>
        <v/>
      </c>
      <c r="O26" s="35">
        <f>O22+O25</f>
        <v/>
      </c>
      <c r="P26" s="35">
        <f>P22+P25</f>
        <v/>
      </c>
      <c r="R26" s="35">
        <f>R22+R25</f>
        <v/>
      </c>
      <c r="S26" s="35">
        <f>S22+S25</f>
        <v/>
      </c>
      <c r="T26" s="35">
        <f>T22+T25</f>
        <v/>
      </c>
      <c r="U26" s="35">
        <f>H26+I26+J26+K26</f>
        <v/>
      </c>
      <c r="V26" s="35">
        <f>L26+M26+N26+O26</f>
        <v/>
      </c>
      <c r="W26" s="35">
        <f>W22+W25</f>
        <v/>
      </c>
      <c r="X26" s="35">
        <f>X22+X25</f>
        <v/>
      </c>
      <c r="Y26" s="35">
        <f>Y22+Y25</f>
        <v/>
      </c>
    </row>
    <row r="27"/>
    <row r="28">
      <c r="D28" s="12" t="inlineStr">
        <is>
          <t>Less: Interest Expense</t>
        </is>
      </c>
      <c r="G28" s="33" t="n">
        <v>-19.316</v>
      </c>
      <c r="H28" s="33" t="n">
        <v>-93.184</v>
      </c>
      <c r="I28" s="34">
        <f>-(H103+H110)*0.075/4</f>
        <v/>
      </c>
      <c r="J28" s="34">
        <f>-(I103+I110)*0.075/4</f>
        <v/>
      </c>
      <c r="K28" s="34">
        <f>-(J103+J110)*0.075/4</f>
        <v/>
      </c>
      <c r="L28" s="34">
        <f>-(K103+K110)*0.075/4</f>
        <v/>
      </c>
      <c r="M28" s="34">
        <f>-(L103+L110)*0.075/4</f>
        <v/>
      </c>
      <c r="N28" s="34">
        <f>-(M103+M110)*0.075/4</f>
        <v/>
      </c>
      <c r="O28" s="34">
        <f>-(N103+N110)*0.075/4</f>
        <v/>
      </c>
      <c r="P28" s="34">
        <f>-(O103+O110)*0.075/4</f>
        <v/>
      </c>
      <c r="R28" s="33" t="n">
        <v>-17.173</v>
      </c>
      <c r="S28" s="33" t="n">
        <v>-32.605</v>
      </c>
      <c r="T28" s="33" t="n">
        <v>-142.601</v>
      </c>
      <c r="U28" s="34">
        <f>H28+I28+J28+K28</f>
        <v/>
      </c>
      <c r="V28" s="34">
        <f>L28+M28+N28+O28</f>
        <v/>
      </c>
      <c r="W28" s="34">
        <f>-(V103+V110)*0.075</f>
        <v/>
      </c>
      <c r="X28" s="34">
        <f>-(W103+W110)*0.075</f>
        <v/>
      </c>
      <c r="Y28" s="34">
        <f>-(X103+X110)*0.075</f>
        <v/>
      </c>
    </row>
    <row r="29">
      <c r="D29" s="12" t="inlineStr">
        <is>
          <t>Other (Expense) Income, Net</t>
        </is>
      </c>
      <c r="G29" s="37" t="n">
        <v>-3.989</v>
      </c>
      <c r="H29" s="37" t="n">
        <v>49.344</v>
      </c>
      <c r="I29" s="37" t="n">
        <v>0</v>
      </c>
      <c r="J29" s="37" t="n">
        <v>0</v>
      </c>
      <c r="K29" s="37" t="n">
        <v>0</v>
      </c>
      <c r="L29" s="37" t="n">
        <v>0</v>
      </c>
      <c r="M29" s="37" t="n">
        <v>0</v>
      </c>
      <c r="N29" s="37" t="n">
        <v>0</v>
      </c>
      <c r="O29" s="37" t="n">
        <v>0</v>
      </c>
      <c r="P29" s="37" t="n">
        <v>0</v>
      </c>
      <c r="R29" s="37" t="n">
        <v>-9.585000000000001</v>
      </c>
      <c r="S29" s="37" t="n">
        <v>10.09</v>
      </c>
      <c r="T29" s="37" t="n">
        <v>-24.072</v>
      </c>
      <c r="U29" s="38">
        <f>H29+I29+J29+K29</f>
        <v/>
      </c>
      <c r="V29" s="38">
        <f>L29+M29+N29+O29</f>
        <v/>
      </c>
      <c r="W29" s="37" t="n">
        <v>0</v>
      </c>
      <c r="X29" s="37" t="n">
        <v>0</v>
      </c>
      <c r="Y29" s="37" t="n">
        <v>0</v>
      </c>
    </row>
    <row r="30">
      <c r="C30" s="10" t="inlineStr">
        <is>
          <t>Income (Loss) Before Income Taxes</t>
        </is>
      </c>
      <c r="G30" s="35">
        <f>G22+G28+G29</f>
        <v/>
      </c>
      <c r="H30" s="35">
        <f>H22+H28+H29</f>
        <v/>
      </c>
      <c r="I30" s="35">
        <f>I22+I28+I29</f>
        <v/>
      </c>
      <c r="J30" s="35">
        <f>J22+J28+J29</f>
        <v/>
      </c>
      <c r="K30" s="35">
        <f>K22+K28+K29</f>
        <v/>
      </c>
      <c r="L30" s="35">
        <f>L22+L28+L29</f>
        <v/>
      </c>
      <c r="M30" s="35">
        <f>M22+M28+M29</f>
        <v/>
      </c>
      <c r="N30" s="35">
        <f>N22+N28+N29</f>
        <v/>
      </c>
      <c r="O30" s="35">
        <f>O22+O28+O29</f>
        <v/>
      </c>
      <c r="P30" s="35">
        <f>P22+P28+P29</f>
        <v/>
      </c>
      <c r="R30" s="35">
        <f>R22+R28+R29</f>
        <v/>
      </c>
      <c r="S30" s="35">
        <f>S22+S28+S29</f>
        <v/>
      </c>
      <c r="T30" s="35">
        <f>T22+T28+T29</f>
        <v/>
      </c>
      <c r="U30" s="35">
        <f>H30+I30+J30+K30</f>
        <v/>
      </c>
      <c r="V30" s="35">
        <f>L30+M30+N30+O30</f>
        <v/>
      </c>
      <c r="W30" s="35">
        <f>W22+W28+W29</f>
        <v/>
      </c>
      <c r="X30" s="35">
        <f>X22+X28+X29</f>
        <v/>
      </c>
      <c r="Y30" s="35">
        <f>Y22+Y28+Y29</f>
        <v/>
      </c>
    </row>
    <row r="31">
      <c r="D31" s="8" t="inlineStr">
        <is>
          <t>Reconciliation: variance vs. as-reported</t>
        </is>
      </c>
      <c r="G31" s="36">
        <f>IF(_reported!G11="","",G30-_reported!G11)</f>
        <v/>
      </c>
      <c r="H31" s="36">
        <f>IF(_reported!H11="","",H30-_reported!H11)</f>
        <v/>
      </c>
      <c r="R31" s="36">
        <f>IF(_reported!R11="","",R30-_reported!R11)</f>
        <v/>
      </c>
      <c r="S31" s="36">
        <f>IF(_reported!S11="","",S30-_reported!S11)</f>
        <v/>
      </c>
      <c r="T31" s="36">
        <f>IF(_reported!T11="","",T30-_reported!T11)</f>
        <v/>
      </c>
    </row>
    <row r="32"/>
    <row r="33">
      <c r="D33" s="12" t="inlineStr">
        <is>
          <t>Less: Income Tax (Expense) Benefit</t>
        </is>
      </c>
      <c r="G33" s="33" t="n">
        <v>-84.286</v>
      </c>
      <c r="H33" s="33" t="n">
        <v>-48.866</v>
      </c>
      <c r="I33" s="34">
        <f>-I30*I62</f>
        <v/>
      </c>
      <c r="J33" s="34">
        <f>-J30*J62</f>
        <v/>
      </c>
      <c r="K33" s="34">
        <f>-K30*K62</f>
        <v/>
      </c>
      <c r="L33" s="34">
        <f>-L30*L62</f>
        <v/>
      </c>
      <c r="M33" s="34">
        <f>-M30*M62</f>
        <v/>
      </c>
      <c r="N33" s="34">
        <f>-N30*N62</f>
        <v/>
      </c>
      <c r="O33" s="34">
        <f>-O30*O62</f>
        <v/>
      </c>
      <c r="P33" s="34">
        <f>-P30*P62</f>
        <v/>
      </c>
      <c r="R33" s="33" t="n">
        <v>103.134</v>
      </c>
      <c r="S33" s="33" t="n">
        <v>-15.84</v>
      </c>
      <c r="T33" s="33" t="n">
        <v>-111.382</v>
      </c>
      <c r="U33" s="34">
        <f>H33+I33+J33+K33</f>
        <v/>
      </c>
      <c r="V33" s="34">
        <f>L33+M33+N33+O33</f>
        <v/>
      </c>
      <c r="W33" s="34">
        <f>-W30*W62</f>
        <v/>
      </c>
      <c r="X33" s="34">
        <f>-X30*X62</f>
        <v/>
      </c>
      <c r="Y33" s="34">
        <f>-Y30*Y62</f>
        <v/>
      </c>
    </row>
    <row r="34">
      <c r="A34" s="9" t="inlineStr">
        <is>
          <t>x</t>
        </is>
      </c>
      <c r="B34" s="10" t="inlineStr">
        <is>
          <t>Net Income (Loss)</t>
        </is>
      </c>
      <c r="G34" s="35">
        <f>G30+G33</f>
        <v/>
      </c>
      <c r="H34" s="35">
        <f>H30+H33</f>
        <v/>
      </c>
      <c r="I34" s="35">
        <f>I30+I33</f>
        <v/>
      </c>
      <c r="J34" s="35">
        <f>J30+J33</f>
        <v/>
      </c>
      <c r="K34" s="35">
        <f>K30+K33</f>
        <v/>
      </c>
      <c r="L34" s="35">
        <f>L30+L33</f>
        <v/>
      </c>
      <c r="M34" s="35">
        <f>M30+M33</f>
        <v/>
      </c>
      <c r="N34" s="35">
        <f>N30+N33</f>
        <v/>
      </c>
      <c r="O34" s="35">
        <f>O30+O33</f>
        <v/>
      </c>
      <c r="P34" s="35">
        <f>P30+P33</f>
        <v/>
      </c>
      <c r="R34" s="35">
        <f>R30+R33</f>
        <v/>
      </c>
      <c r="S34" s="35">
        <f>S30+S33</f>
        <v/>
      </c>
      <c r="T34" s="35">
        <f>T30+T33</f>
        <v/>
      </c>
      <c r="U34" s="35">
        <f>H34+I34+J34+K34</f>
        <v/>
      </c>
      <c r="V34" s="35">
        <f>L34+M34+N34+O34</f>
        <v/>
      </c>
      <c r="W34" s="35">
        <f>W30+W33</f>
        <v/>
      </c>
      <c r="X34" s="35">
        <f>X30+X33</f>
        <v/>
      </c>
      <c r="Y34" s="35">
        <f>Y30+Y33</f>
        <v/>
      </c>
    </row>
    <row r="35">
      <c r="D35" s="8" t="inlineStr">
        <is>
          <t>Reconciliation: variance vs. as-reported</t>
        </is>
      </c>
      <c r="G35" s="36">
        <f>IF(_reported!G12="","",G34-_reported!G12)</f>
        <v/>
      </c>
      <c r="H35" s="36">
        <f>IF(_reported!H12="","",H34-_reported!H12)</f>
        <v/>
      </c>
      <c r="R35" s="36">
        <f>IF(_reported!R12="","",R34-_reported!R12)</f>
        <v/>
      </c>
      <c r="S35" s="36">
        <f>IF(_reported!S12="","",S34-_reported!S12)</f>
        <v/>
      </c>
      <c r="T35" s="36">
        <f>IF(_reported!T12="","",T34-_reported!T12)</f>
        <v/>
      </c>
    </row>
    <row r="36"/>
    <row r="37">
      <c r="D37" s="12" t="inlineStr">
        <is>
          <t>Net Income Attributable to NCI</t>
        </is>
      </c>
      <c r="G37" s="33" t="n">
        <v>-0.037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v>0</v>
      </c>
      <c r="N37" s="33" t="n">
        <v>0</v>
      </c>
      <c r="O37" s="33" t="n">
        <v>0</v>
      </c>
      <c r="P37" s="33" t="n">
        <v>0</v>
      </c>
      <c r="R37" s="33" t="n">
        <v>-0.13</v>
      </c>
      <c r="S37" s="33" t="n">
        <v>-0.516</v>
      </c>
      <c r="T37" s="33" t="n">
        <v>-0.068</v>
      </c>
      <c r="U37" s="34">
        <f>H37+I37+J37+K37</f>
        <v/>
      </c>
      <c r="V37" s="34">
        <f>L37+M37+N37+O37</f>
        <v/>
      </c>
      <c r="W37" s="33" t="n">
        <v>0</v>
      </c>
      <c r="X37" s="33" t="n">
        <v>0</v>
      </c>
      <c r="Y37" s="33" t="n">
        <v>0</v>
      </c>
    </row>
    <row r="38">
      <c r="A38" s="9" t="inlineStr">
        <is>
          <t>x</t>
        </is>
      </c>
      <c r="B38" s="10" t="inlineStr">
        <is>
          <t>Net Income to BSP Shareholders</t>
        </is>
      </c>
      <c r="G38" s="35">
        <f>G34-G37</f>
        <v/>
      </c>
      <c r="H38" s="35">
        <f>H34-H37</f>
        <v/>
      </c>
      <c r="I38" s="35">
        <f>I34-I37</f>
        <v/>
      </c>
      <c r="J38" s="35">
        <f>J34-J37</f>
        <v/>
      </c>
      <c r="K38" s="35">
        <f>K34-K37</f>
        <v/>
      </c>
      <c r="L38" s="35">
        <f>L34-L37</f>
        <v/>
      </c>
      <c r="M38" s="35">
        <f>M34-M37</f>
        <v/>
      </c>
      <c r="N38" s="35">
        <f>N34-N37</f>
        <v/>
      </c>
      <c r="O38" s="35">
        <f>O34-O37</f>
        <v/>
      </c>
      <c r="P38" s="35">
        <f>P34-P37</f>
        <v/>
      </c>
      <c r="R38" s="35">
        <f>R34-R37</f>
        <v/>
      </c>
      <c r="S38" s="35">
        <f>S34-S37</f>
        <v/>
      </c>
      <c r="T38" s="35">
        <f>T34-T37</f>
        <v/>
      </c>
      <c r="U38" s="35">
        <f>H38+I38+J38+K38</f>
        <v/>
      </c>
      <c r="V38" s="35">
        <f>L38+M38+N38+O38</f>
        <v/>
      </c>
      <c r="W38" s="35">
        <f>W34-W37</f>
        <v/>
      </c>
      <c r="X38" s="35">
        <f>X34-X37</f>
        <v/>
      </c>
      <c r="Y38" s="35">
        <f>Y34-Y37</f>
        <v/>
      </c>
    </row>
    <row r="39">
      <c r="D39" s="8" t="inlineStr">
        <is>
          <t>Reconciliation: variance vs. as-reported</t>
        </is>
      </c>
      <c r="G39" s="36">
        <f>IF(_reported!G13="","",G38-_reported!G13)</f>
        <v/>
      </c>
      <c r="H39" s="36">
        <f>IF(_reported!H13="","",H38-_reported!H13)</f>
        <v/>
      </c>
      <c r="R39" s="36">
        <f>IF(_reported!R13="","",R38-_reported!R13)</f>
        <v/>
      </c>
      <c r="S39" s="36">
        <f>IF(_reported!S13="","",S38-_reported!S13)</f>
        <v/>
      </c>
      <c r="T39" s="36">
        <f>IF(_reported!T13="","",T38-_reported!T13)</f>
        <v/>
      </c>
    </row>
    <row r="40"/>
    <row r="41">
      <c r="C41" s="12" t="inlineStr">
        <is>
          <t>EPS, Basic</t>
        </is>
      </c>
      <c r="G41" s="17" t="n">
        <v>-0.19</v>
      </c>
      <c r="H41" s="17" t="n">
        <v>0.05</v>
      </c>
      <c r="I41" s="39">
        <f>IFERROR(I38/I43,"")</f>
        <v/>
      </c>
      <c r="J41" s="39">
        <f>IFERROR(J38/J43,"")</f>
        <v/>
      </c>
      <c r="K41" s="39">
        <f>IFERROR(K38/K43,"")</f>
        <v/>
      </c>
      <c r="L41" s="39">
        <f>IFERROR(L38/L43,"")</f>
        <v/>
      </c>
      <c r="M41" s="39">
        <f>IFERROR(M38/M43,"")</f>
        <v/>
      </c>
      <c r="N41" s="39">
        <f>IFERROR(N38/N43,"")</f>
        <v/>
      </c>
      <c r="O41" s="39">
        <f>IFERROR(O38/O43,"")</f>
        <v/>
      </c>
      <c r="P41" s="39">
        <f>IFERROR(P38/P43,"")</f>
        <v/>
      </c>
      <c r="R41" s="17" t="n">
        <v>0.32</v>
      </c>
      <c r="S41" s="17" t="n">
        <v>0.16</v>
      </c>
      <c r="T41" s="17" t="n">
        <v>0</v>
      </c>
      <c r="U41" s="39">
        <f>IFERROR(U38/U43,"")</f>
        <v/>
      </c>
      <c r="V41" s="39">
        <f>IFERROR(V38/V43,"")</f>
        <v/>
      </c>
      <c r="W41" s="39">
        <f>IFERROR(W38/W43,"")</f>
        <v/>
      </c>
      <c r="X41" s="39">
        <f>IFERROR(X38/X43,"")</f>
        <v/>
      </c>
      <c r="Y41" s="39">
        <f>IFERROR(Y38/Y43,"")</f>
        <v/>
      </c>
    </row>
    <row r="42">
      <c r="C42" s="12" t="inlineStr">
        <is>
          <t>EPS, Diluted</t>
        </is>
      </c>
      <c r="G42" s="17" t="n">
        <v>-0.19</v>
      </c>
      <c r="H42" s="17" t="n">
        <v>0.04</v>
      </c>
      <c r="I42" s="39">
        <f>IFERROR(I38/I44,"")</f>
        <v/>
      </c>
      <c r="J42" s="39">
        <f>IFERROR(J38/J44,"")</f>
        <v/>
      </c>
      <c r="K42" s="39">
        <f>IFERROR(K38/K44,"")</f>
        <v/>
      </c>
      <c r="L42" s="39">
        <f>IFERROR(L38/L44,"")</f>
        <v/>
      </c>
      <c r="M42" s="39">
        <f>IFERROR(M38/M44,"")</f>
        <v/>
      </c>
      <c r="N42" s="39">
        <f>IFERROR(N38/N44,"")</f>
        <v/>
      </c>
      <c r="O42" s="39">
        <f>IFERROR(O38/O44,"")</f>
        <v/>
      </c>
      <c r="P42" s="39">
        <f>IFERROR(P38/P44,"")</f>
        <v/>
      </c>
      <c r="R42" s="17" t="n">
        <v>0.31</v>
      </c>
      <c r="S42" s="17" t="n">
        <v>0.15</v>
      </c>
      <c r="T42" s="17" t="n">
        <v>0</v>
      </c>
      <c r="U42" s="39">
        <f>IFERROR(U38/U44,"")</f>
        <v/>
      </c>
      <c r="V42" s="39">
        <f>IFERROR(V38/V44,"")</f>
        <v/>
      </c>
      <c r="W42" s="39">
        <f>IFERROR(W38/W44,"")</f>
        <v/>
      </c>
      <c r="X42" s="39">
        <f>IFERROR(X38/X44,"")</f>
        <v/>
      </c>
      <c r="Y42" s="39">
        <f>IFERROR(Y38/Y44,"")</f>
        <v/>
      </c>
    </row>
    <row r="43">
      <c r="C43" s="12" t="inlineStr">
        <is>
          <t>Weighted Avg Shares — Basic (M)</t>
        </is>
      </c>
      <c r="G43" s="37" t="n">
        <v>590.3630000000001</v>
      </c>
      <c r="H43" s="37" t="n">
        <v>597.623</v>
      </c>
      <c r="I43" s="37" t="n">
        <v>600.821</v>
      </c>
      <c r="J43" s="37" t="n">
        <v>635.2190000000001</v>
      </c>
      <c r="K43" s="37" t="n">
        <v>635.2190000000001</v>
      </c>
      <c r="L43" s="37" t="n">
        <v>635.2190000000001</v>
      </c>
      <c r="M43" s="37" t="n">
        <v>635.2190000000001</v>
      </c>
      <c r="N43" s="37" t="n">
        <v>635.2190000000001</v>
      </c>
      <c r="O43" s="37" t="n">
        <v>635.2190000000001</v>
      </c>
      <c r="P43" s="37" t="n">
        <v>635.2190000000001</v>
      </c>
      <c r="R43" s="37" t="n">
        <v>502.416</v>
      </c>
      <c r="S43" s="37" t="n">
        <v>559.456</v>
      </c>
      <c r="T43" s="37" t="n">
        <v>580.999</v>
      </c>
      <c r="U43" s="37" t="n">
        <v>617.221</v>
      </c>
      <c r="V43" s="37" t="n">
        <v>635.2190000000001</v>
      </c>
      <c r="W43" s="37" t="n">
        <v>635.2190000000001</v>
      </c>
      <c r="X43" s="37" t="n">
        <v>635.2190000000001</v>
      </c>
      <c r="Y43" s="37" t="n">
        <v>635.2190000000001</v>
      </c>
    </row>
    <row r="44">
      <c r="C44" s="12" t="inlineStr">
        <is>
          <t>Weighted Avg Shares — Diluted (M)</t>
        </is>
      </c>
      <c r="G44" s="37" t="n">
        <v>590.3630000000001</v>
      </c>
      <c r="H44" s="37" t="n">
        <v>634.48</v>
      </c>
      <c r="I44" s="37" t="n">
        <v>637.679</v>
      </c>
      <c r="J44" s="37" t="n">
        <v>672.077</v>
      </c>
      <c r="K44" s="37" t="n">
        <v>672.077</v>
      </c>
      <c r="L44" s="37" t="n">
        <v>672.077</v>
      </c>
      <c r="M44" s="37" t="n">
        <v>672.077</v>
      </c>
      <c r="N44" s="37" t="n">
        <v>672.077</v>
      </c>
      <c r="O44" s="37" t="n">
        <v>672.077</v>
      </c>
      <c r="P44" s="37" t="n">
        <v>672.077</v>
      </c>
      <c r="R44" s="37" t="n">
        <v>518.623</v>
      </c>
      <c r="S44" s="37" t="n">
        <v>596.753</v>
      </c>
      <c r="T44" s="37" t="n">
        <v>621.1660000000001</v>
      </c>
      <c r="U44" s="37" t="n">
        <v>654.079</v>
      </c>
      <c r="V44" s="37" t="n">
        <v>672.077</v>
      </c>
      <c r="W44" s="37" t="n">
        <v>672.077</v>
      </c>
      <c r="X44" s="37" t="n">
        <v>672.077</v>
      </c>
      <c r="Y44" s="37" t="n">
        <v>672.077</v>
      </c>
    </row>
    <row r="45"/>
    <row r="46"/>
    <row r="47">
      <c r="B47" s="7" t="inlineStr">
        <is>
          <t>Ratios &amp; Assumptions</t>
        </is>
      </c>
      <c r="C47" s="7" t="n"/>
      <c r="D47" s="7" t="n"/>
      <c r="E47" s="7" t="n"/>
      <c r="F47" s="7" t="n"/>
      <c r="G47" s="7" t="n"/>
      <c r="H47" s="7" t="n"/>
      <c r="I47" s="7" t="n"/>
      <c r="J47" s="7" t="n"/>
      <c r="K47" s="7" t="n"/>
      <c r="L47" s="7" t="n"/>
      <c r="M47" s="7" t="n"/>
      <c r="N47" s="7" t="n"/>
      <c r="O47" s="7" t="n"/>
      <c r="P47" s="7" t="n"/>
      <c r="R47" s="7" t="n"/>
      <c r="S47" s="7" t="n"/>
      <c r="T47" s="7" t="n"/>
      <c r="U47" s="7" t="n"/>
      <c r="V47" s="7" t="n"/>
      <c r="W47" s="7" t="n"/>
      <c r="X47" s="7" t="n"/>
      <c r="Y47" s="7" t="n"/>
    </row>
    <row r="48"/>
    <row r="49">
      <c r="D49" s="12" t="inlineStr">
        <is>
          <t>YoY Revenue Growth</t>
        </is>
      </c>
      <c r="H49" s="40">
        <f>IFERROR(H10/G10-1,"")</f>
        <v/>
      </c>
      <c r="K49" s="40">
        <f>IFERROR(K10/G10-1,"")</f>
        <v/>
      </c>
      <c r="L49" s="40">
        <f>IFERROR(L10/H10-1,"")</f>
        <v/>
      </c>
      <c r="M49" s="40">
        <f>IFERROR(M10/I10-1,"")</f>
        <v/>
      </c>
      <c r="N49" s="40">
        <f>IFERROR(N10/J10-1,"")</f>
        <v/>
      </c>
      <c r="O49" s="40">
        <f>IFERROR(O10/K10-1,"")</f>
        <v/>
      </c>
      <c r="P49" s="40">
        <f>IFERROR(P10/L10-1,"")</f>
        <v/>
      </c>
      <c r="S49" s="40">
        <f>IFERROR(S10/R10-1,"")</f>
        <v/>
      </c>
      <c r="T49" s="40">
        <f>IFERROR(T10/S10-1,"")</f>
        <v/>
      </c>
      <c r="U49" s="40">
        <f>IFERROR(U10/T10-1,"")</f>
        <v/>
      </c>
      <c r="V49" s="40">
        <f>IFERROR(V10/U10-1,"")</f>
        <v/>
      </c>
      <c r="W49" s="40">
        <f>IFERROR(W10/V10-1,"")</f>
        <v/>
      </c>
      <c r="X49" s="40">
        <f>IFERROR(X10/W10-1,"")</f>
        <v/>
      </c>
      <c r="Y49" s="40">
        <f>IFERROR(Y10/X10-1,"")</f>
        <v/>
      </c>
    </row>
    <row r="50"/>
    <row r="51">
      <c r="D51" s="12" t="inlineStr">
        <is>
          <t>Gross Margin</t>
        </is>
      </c>
      <c r="G51" s="40">
        <f>IFERROR(G14/G10,"")</f>
        <v/>
      </c>
      <c r="H51" s="40">
        <f>IFERROR(H14/H10,"")</f>
        <v/>
      </c>
      <c r="I51" s="40">
        <f>IFERROR(I14/I10,"")</f>
        <v/>
      </c>
      <c r="J51" s="40">
        <f>IFERROR(J14/J10,"")</f>
        <v/>
      </c>
      <c r="K51" s="40">
        <f>IFERROR(K14/K10,"")</f>
        <v/>
      </c>
      <c r="L51" s="40">
        <f>IFERROR(L14/L10,"")</f>
        <v/>
      </c>
      <c r="M51" s="40">
        <f>IFERROR(M14/M10,"")</f>
        <v/>
      </c>
      <c r="N51" s="40">
        <f>IFERROR(N14/N10,"")</f>
        <v/>
      </c>
      <c r="O51" s="40">
        <f>IFERROR(O14/O10,"")</f>
        <v/>
      </c>
      <c r="P51" s="40">
        <f>IFERROR(P14/P10,"")</f>
        <v/>
      </c>
      <c r="R51" s="40">
        <f>IFERROR(R14/R10,"")</f>
        <v/>
      </c>
      <c r="S51" s="40">
        <f>IFERROR(S14/S10,"")</f>
        <v/>
      </c>
      <c r="T51" s="40">
        <f>IFERROR(T14/T10,"")</f>
        <v/>
      </c>
      <c r="U51" s="40">
        <f>IFERROR(U14/U10,"")</f>
        <v/>
      </c>
      <c r="V51" s="40">
        <f>IFERROR(V14/V10,"")</f>
        <v/>
      </c>
      <c r="W51" s="40">
        <f>IFERROR(W14/W10,"")</f>
        <v/>
      </c>
      <c r="X51" s="40">
        <f>IFERROR(X14/X10,"")</f>
        <v/>
      </c>
      <c r="Y51" s="40">
        <f>IFERROR(Y14/Y10,"")</f>
        <v/>
      </c>
    </row>
    <row r="52">
      <c r="D52" s="12" t="inlineStr">
        <is>
          <t>Cost of Revenue (% of Revenue)</t>
        </is>
      </c>
      <c r="G52" s="40">
        <f>IFERROR(-G12/G10,"")</f>
        <v/>
      </c>
      <c r="H52" s="40">
        <f>IFERROR(-H12/H10,"")</f>
        <v/>
      </c>
      <c r="I52" s="41" t="n">
        <v>0.34</v>
      </c>
      <c r="J52" s="41" t="n">
        <v>0.34</v>
      </c>
      <c r="K52" s="41" t="n">
        <v>0.338</v>
      </c>
      <c r="L52" s="41" t="n">
        <v>0.338</v>
      </c>
      <c r="M52" s="41" t="n">
        <v>0.336</v>
      </c>
      <c r="N52" s="41" t="n">
        <v>0.336</v>
      </c>
      <c r="O52" s="41" t="n">
        <v>0.334</v>
      </c>
      <c r="P52" s="41" t="n">
        <v>0.334</v>
      </c>
      <c r="R52" s="40">
        <f>IFERROR(-R12/R10,"")</f>
        <v/>
      </c>
      <c r="S52" s="40">
        <f>IFERROR(-S12/S10,"")</f>
        <v/>
      </c>
      <c r="T52" s="40">
        <f>IFERROR(-T12/T10,"")</f>
        <v/>
      </c>
      <c r="U52" s="41" t="n">
        <v>0.339</v>
      </c>
      <c r="V52" s="41" t="n">
        <v>0.337</v>
      </c>
      <c r="W52" s="41" t="n">
        <v>0.334</v>
      </c>
      <c r="X52" s="41" t="n">
        <v>0.333</v>
      </c>
      <c r="Y52" s="41" t="n">
        <v>0.332</v>
      </c>
    </row>
    <row r="53"/>
    <row r="54">
      <c r="D54" s="12" t="inlineStr">
        <is>
          <t>R&amp;D (% of Revenue) [DRIVER]</t>
        </is>
      </c>
      <c r="G54" s="40">
        <f>IFERROR(-G17/G10,"")</f>
        <v/>
      </c>
      <c r="H54" s="40">
        <f>IFERROR(-H17/H10,"")</f>
        <v/>
      </c>
      <c r="I54" s="41" t="n">
        <v>0.102</v>
      </c>
      <c r="J54" s="41" t="n">
        <v>0.101</v>
      </c>
      <c r="K54" s="41" t="n">
        <v>0.1</v>
      </c>
      <c r="L54" s="41" t="n">
        <v>0.1</v>
      </c>
      <c r="M54" s="41" t="n">
        <v>0.099</v>
      </c>
      <c r="N54" s="41" t="n">
        <v>0.098</v>
      </c>
      <c r="O54" s="41" t="n">
        <v>0.097</v>
      </c>
      <c r="P54" s="41" t="n">
        <v>0.097</v>
      </c>
      <c r="R54" s="40">
        <f>IFERROR(-R17/R10,"")</f>
        <v/>
      </c>
      <c r="S54" s="40">
        <f>IFERROR(-S17/S10,"")</f>
        <v/>
      </c>
      <c r="T54" s="40">
        <f>IFERROR(-T17/T10,"")</f>
        <v/>
      </c>
      <c r="U54" s="41" t="n">
        <v>0.105</v>
      </c>
      <c r="V54" s="41" t="n">
        <v>0.098</v>
      </c>
      <c r="W54" s="41" t="n">
        <v>0.097</v>
      </c>
      <c r="X54" s="41" t="n">
        <v>0.096</v>
      </c>
      <c r="Y54" s="41" t="n">
        <v>0.095</v>
      </c>
    </row>
    <row r="55">
      <c r="D55" s="12" t="inlineStr">
        <is>
          <t>Sales &amp; Marketing (% of Revenue) [DRIVER]</t>
        </is>
      </c>
      <c r="G55" s="40">
        <f>IFERROR(-G18/G10,"")</f>
        <v/>
      </c>
      <c r="H55" s="40">
        <f>IFERROR(-H18/H10,"")</f>
        <v/>
      </c>
      <c r="I55" s="41" t="n">
        <v>0.098</v>
      </c>
      <c r="J55" s="41" t="n">
        <v>0.097</v>
      </c>
      <c r="K55" s="41" t="n">
        <v>0.096</v>
      </c>
      <c r="L55" s="41" t="n">
        <v>0.096</v>
      </c>
      <c r="M55" s="41" t="n">
        <v>0.095</v>
      </c>
      <c r="N55" s="41" t="n">
        <v>0.094</v>
      </c>
      <c r="O55" s="41" t="n">
        <v>0.093</v>
      </c>
      <c r="P55" s="41" t="n">
        <v>0.093</v>
      </c>
      <c r="R55" s="40">
        <f>IFERROR(-R18/R10,"")</f>
        <v/>
      </c>
      <c r="S55" s="40">
        <f>IFERROR(-S18/S10,"")</f>
        <v/>
      </c>
      <c r="T55" s="40">
        <f>IFERROR(-T18/T10,"")</f>
        <v/>
      </c>
      <c r="U55" s="41" t="n">
        <v>0.098</v>
      </c>
      <c r="V55" s="41" t="n">
        <v>0.094</v>
      </c>
      <c r="W55" s="41" t="n">
        <v>0.093</v>
      </c>
      <c r="X55" s="41" t="n">
        <v>0.092</v>
      </c>
      <c r="Y55" s="41" t="n">
        <v>0.091</v>
      </c>
    </row>
    <row r="56">
      <c r="D56" s="12" t="inlineStr">
        <is>
          <t>G&amp;A (% of Revenue) [DRIVER]</t>
        </is>
      </c>
      <c r="G56" s="40">
        <f>IFERROR(-G19/G10,"")</f>
        <v/>
      </c>
      <c r="H56" s="40">
        <f>IFERROR(-H19/H10,"")</f>
        <v/>
      </c>
      <c r="I56" s="41" t="n">
        <v>0.235</v>
      </c>
      <c r="J56" s="41" t="n">
        <v>0.23</v>
      </c>
      <c r="K56" s="41" t="n">
        <v>0.222</v>
      </c>
      <c r="L56" s="41" t="n">
        <v>0.22</v>
      </c>
      <c r="M56" s="41" t="n">
        <v>0.215</v>
      </c>
      <c r="N56" s="41" t="n">
        <v>0.212</v>
      </c>
      <c r="O56" s="41" t="n">
        <v>0.205</v>
      </c>
      <c r="P56" s="41" t="n">
        <v>0.202</v>
      </c>
      <c r="R56" s="40">
        <f>IFERROR(-R19/R10,"")</f>
        <v/>
      </c>
      <c r="S56" s="40">
        <f>IFERROR(-S19/S10,"")</f>
        <v/>
      </c>
      <c r="T56" s="40">
        <f>IFERROR(-T19/T10,"")</f>
        <v/>
      </c>
      <c r="U56" s="41" t="n">
        <v>0.23</v>
      </c>
      <c r="V56" s="41" t="n">
        <v>0.211</v>
      </c>
      <c r="W56" s="41" t="n">
        <v>0.2</v>
      </c>
      <c r="X56" s="41" t="n">
        <v>0.196</v>
      </c>
      <c r="Y56" s="41" t="n">
        <v>0.194</v>
      </c>
    </row>
    <row r="57">
      <c r="D57" s="12" t="inlineStr">
        <is>
          <t>Total OpEx (% of Revenue)</t>
        </is>
      </c>
      <c r="G57" s="40">
        <f>IFERROR(-G20/G10,"")</f>
        <v/>
      </c>
      <c r="H57" s="40">
        <f>IFERROR(-H20/H10,"")</f>
        <v/>
      </c>
      <c r="I57" s="40">
        <f>IFERROR(-I20/I10,"")</f>
        <v/>
      </c>
      <c r="J57" s="40">
        <f>IFERROR(-J20/J10,"")</f>
        <v/>
      </c>
      <c r="K57" s="40">
        <f>IFERROR(-K20/K10,"")</f>
        <v/>
      </c>
      <c r="L57" s="40">
        <f>IFERROR(-L20/L10,"")</f>
        <v/>
      </c>
      <c r="M57" s="40">
        <f>IFERROR(-M20/M10,"")</f>
        <v/>
      </c>
      <c r="N57" s="40">
        <f>IFERROR(-N20/N10,"")</f>
        <v/>
      </c>
      <c r="O57" s="40">
        <f>IFERROR(-O20/O10,"")</f>
        <v/>
      </c>
      <c r="P57" s="40">
        <f>IFERROR(-P20/P10,"")</f>
        <v/>
      </c>
      <c r="R57" s="40">
        <f>IFERROR(-R20/R10,"")</f>
        <v/>
      </c>
      <c r="S57" s="40">
        <f>IFERROR(-S20/S10,"")</f>
        <v/>
      </c>
      <c r="T57" s="40">
        <f>IFERROR(-T20/T10,"")</f>
        <v/>
      </c>
      <c r="U57" s="40">
        <f>IFERROR(-U20/U10,"")</f>
        <v/>
      </c>
      <c r="V57" s="40">
        <f>IFERROR(-V20/V10,"")</f>
        <v/>
      </c>
      <c r="W57" s="40">
        <f>IFERROR(-W20/W10,"")</f>
        <v/>
      </c>
      <c r="X57" s="40">
        <f>IFERROR(-X20/X10,"")</f>
        <v/>
      </c>
      <c r="Y57" s="40">
        <f>IFERROR(-Y20/Y10,"")</f>
        <v/>
      </c>
    </row>
    <row r="58"/>
    <row r="59">
      <c r="D59" s="12" t="inlineStr">
        <is>
          <t>Operating Margin</t>
        </is>
      </c>
      <c r="G59" s="40">
        <f>IFERROR(G22/G10,"")</f>
        <v/>
      </c>
      <c r="H59" s="40">
        <f>IFERROR(H22/H10,"")</f>
        <v/>
      </c>
      <c r="I59" s="40">
        <f>IFERROR(I22/I10,"")</f>
        <v/>
      </c>
      <c r="J59" s="40">
        <f>IFERROR(J22/J10,"")</f>
        <v/>
      </c>
      <c r="K59" s="40">
        <f>IFERROR(K22/K10,"")</f>
        <v/>
      </c>
      <c r="L59" s="40">
        <f>IFERROR(L22/L10,"")</f>
        <v/>
      </c>
      <c r="M59" s="40">
        <f>IFERROR(M22/M10,"")</f>
        <v/>
      </c>
      <c r="N59" s="40">
        <f>IFERROR(N22/N10,"")</f>
        <v/>
      </c>
      <c r="O59" s="40">
        <f>IFERROR(O22/O10,"")</f>
        <v/>
      </c>
      <c r="P59" s="40">
        <f>IFERROR(P22/P10,"")</f>
        <v/>
      </c>
      <c r="R59" s="40">
        <f>IFERROR(R22/R10,"")</f>
        <v/>
      </c>
      <c r="S59" s="40">
        <f>IFERROR(S22/S10,"")</f>
        <v/>
      </c>
      <c r="T59" s="40">
        <f>IFERROR(T22/T10,"")</f>
        <v/>
      </c>
      <c r="U59" s="40">
        <f>IFERROR(U22/U10,"")</f>
        <v/>
      </c>
      <c r="V59" s="40">
        <f>IFERROR(V22/V10,"")</f>
        <v/>
      </c>
      <c r="W59" s="40">
        <f>IFERROR(W22/W10,"")</f>
        <v/>
      </c>
      <c r="X59" s="40">
        <f>IFERROR(X22/X10,"")</f>
        <v/>
      </c>
      <c r="Y59" s="40">
        <f>IFERROR(Y22/Y10,"")</f>
        <v/>
      </c>
    </row>
    <row r="60">
      <c r="D60" s="12" t="inlineStr">
        <is>
          <t>EBITDA Margin</t>
        </is>
      </c>
      <c r="G60" s="40">
        <f>IFERROR(G26/G10,"")</f>
        <v/>
      </c>
      <c r="H60" s="40">
        <f>IFERROR(H26/H10,"")</f>
        <v/>
      </c>
      <c r="I60" s="40">
        <f>IFERROR(I26/I10,"")</f>
        <v/>
      </c>
      <c r="J60" s="40">
        <f>IFERROR(J26/J10,"")</f>
        <v/>
      </c>
      <c r="K60" s="40">
        <f>IFERROR(K26/K10,"")</f>
        <v/>
      </c>
      <c r="L60" s="40">
        <f>IFERROR(L26/L10,"")</f>
        <v/>
      </c>
      <c r="M60" s="40">
        <f>IFERROR(M26/M10,"")</f>
        <v/>
      </c>
      <c r="N60" s="40">
        <f>IFERROR(N26/N10,"")</f>
        <v/>
      </c>
      <c r="O60" s="40">
        <f>IFERROR(O26/O10,"")</f>
        <v/>
      </c>
      <c r="P60" s="40">
        <f>IFERROR(P26/P10,"")</f>
        <v/>
      </c>
      <c r="R60" s="40">
        <f>IFERROR(R26/R10,"")</f>
        <v/>
      </c>
      <c r="S60" s="40">
        <f>IFERROR(S26/S10,"")</f>
        <v/>
      </c>
      <c r="T60" s="40">
        <f>IFERROR(T26/T10,"")</f>
        <v/>
      </c>
      <c r="U60" s="40">
        <f>IFERROR(U26/U10,"")</f>
        <v/>
      </c>
      <c r="V60" s="40">
        <f>IFERROR(V26/V10,"")</f>
        <v/>
      </c>
      <c r="W60" s="40">
        <f>IFERROR(W26/W10,"")</f>
        <v/>
      </c>
      <c r="X60" s="40">
        <f>IFERROR(X26/X10,"")</f>
        <v/>
      </c>
      <c r="Y60" s="40">
        <f>IFERROR(Y26/Y10,"")</f>
        <v/>
      </c>
    </row>
    <row r="61">
      <c r="D61" s="12" t="inlineStr">
        <is>
          <t>Pretax Margin</t>
        </is>
      </c>
      <c r="G61" s="40">
        <f>IFERROR(G30/G10,"")</f>
        <v/>
      </c>
      <c r="H61" s="40">
        <f>IFERROR(H30/H10,"")</f>
        <v/>
      </c>
      <c r="I61" s="40">
        <f>IFERROR(I30/I10,"")</f>
        <v/>
      </c>
      <c r="J61" s="40">
        <f>IFERROR(J30/J10,"")</f>
        <v/>
      </c>
      <c r="K61" s="40">
        <f>IFERROR(K30/K10,"")</f>
        <v/>
      </c>
      <c r="L61" s="40">
        <f>IFERROR(L30/L10,"")</f>
        <v/>
      </c>
      <c r="M61" s="40">
        <f>IFERROR(M30/M10,"")</f>
        <v/>
      </c>
      <c r="N61" s="40">
        <f>IFERROR(N30/N10,"")</f>
        <v/>
      </c>
      <c r="O61" s="40">
        <f>IFERROR(O30/O10,"")</f>
        <v/>
      </c>
      <c r="P61" s="40">
        <f>IFERROR(P30/P10,"")</f>
        <v/>
      </c>
      <c r="R61" s="40">
        <f>IFERROR(R30/R10,"")</f>
        <v/>
      </c>
      <c r="S61" s="40">
        <f>IFERROR(S30/S10,"")</f>
        <v/>
      </c>
      <c r="T61" s="40">
        <f>IFERROR(T30/T10,"")</f>
        <v/>
      </c>
      <c r="U61" s="40">
        <f>IFERROR(U30/U10,"")</f>
        <v/>
      </c>
      <c r="V61" s="40">
        <f>IFERROR(V30/V10,"")</f>
        <v/>
      </c>
      <c r="W61" s="40">
        <f>IFERROR(W30/W10,"")</f>
        <v/>
      </c>
      <c r="X61" s="40">
        <f>IFERROR(X30/X10,"")</f>
        <v/>
      </c>
      <c r="Y61" s="40">
        <f>IFERROR(Y30/Y10,"")</f>
        <v/>
      </c>
    </row>
    <row r="62">
      <c r="D62" s="12" t="inlineStr">
        <is>
          <t>Effective Tax Rate [DRIVER]</t>
        </is>
      </c>
      <c r="G62" s="40">
        <f>IFERROR(-G33/G30,"")</f>
        <v/>
      </c>
      <c r="H62" s="40">
        <f>IFERROR(-H33/H30,"")</f>
        <v/>
      </c>
      <c r="I62" s="41" t="n">
        <v>0.26</v>
      </c>
      <c r="J62" s="41" t="n">
        <v>0.26</v>
      </c>
      <c r="K62" s="41" t="n">
        <v>0.26</v>
      </c>
      <c r="L62" s="41" t="n">
        <v>0.26</v>
      </c>
      <c r="M62" s="41" t="n">
        <v>0.26</v>
      </c>
      <c r="N62" s="41" t="n">
        <v>0.26</v>
      </c>
      <c r="O62" s="41" t="n">
        <v>0.26</v>
      </c>
      <c r="P62" s="41" t="n">
        <v>0.26</v>
      </c>
      <c r="R62" s="40">
        <f>IFERROR(-R33/R30,"")</f>
        <v/>
      </c>
      <c r="S62" s="40">
        <f>IFERROR(-S33/S30,"")</f>
        <v/>
      </c>
      <c r="T62" s="40">
        <f>IFERROR(-T33/T30,"")</f>
        <v/>
      </c>
      <c r="U62" s="41" t="n">
        <v>0.26</v>
      </c>
      <c r="V62" s="41" t="n">
        <v>0.26</v>
      </c>
      <c r="W62" s="41" t="n">
        <v>0.26</v>
      </c>
      <c r="X62" s="41" t="n">
        <v>0.26</v>
      </c>
      <c r="Y62" s="41" t="n">
        <v>0.26</v>
      </c>
    </row>
    <row r="63">
      <c r="D63" s="12" t="inlineStr">
        <is>
          <t>Net Margin</t>
        </is>
      </c>
      <c r="G63" s="40">
        <f>IFERROR(G34/G10,"")</f>
        <v/>
      </c>
      <c r="H63" s="40">
        <f>IFERROR(H34/H10,"")</f>
        <v/>
      </c>
      <c r="I63" s="40">
        <f>IFERROR(I34/I10,"")</f>
        <v/>
      </c>
      <c r="J63" s="40">
        <f>IFERROR(J34/J10,"")</f>
        <v/>
      </c>
      <c r="K63" s="40">
        <f>IFERROR(K34/K10,"")</f>
        <v/>
      </c>
      <c r="L63" s="40">
        <f>IFERROR(L34/L10,"")</f>
        <v/>
      </c>
      <c r="M63" s="40">
        <f>IFERROR(M34/M10,"")</f>
        <v/>
      </c>
      <c r="N63" s="40">
        <f>IFERROR(N34/N10,"")</f>
        <v/>
      </c>
      <c r="O63" s="40">
        <f>IFERROR(O34/O10,"")</f>
        <v/>
      </c>
      <c r="P63" s="40">
        <f>IFERROR(P34/P10,"")</f>
        <v/>
      </c>
      <c r="R63" s="40">
        <f>IFERROR(R34/R10,"")</f>
        <v/>
      </c>
      <c r="S63" s="40">
        <f>IFERROR(S34/S10,"")</f>
        <v/>
      </c>
      <c r="T63" s="40">
        <f>IFERROR(T34/T10,"")</f>
        <v/>
      </c>
      <c r="U63" s="40">
        <f>IFERROR(U34/U10,"")</f>
        <v/>
      </c>
      <c r="V63" s="40">
        <f>IFERROR(V34/V10,"")</f>
        <v/>
      </c>
      <c r="W63" s="40">
        <f>IFERROR(W34/W10,"")</f>
        <v/>
      </c>
      <c r="X63" s="40">
        <f>IFERROR(X34/X10,"")</f>
        <v/>
      </c>
      <c r="Y63" s="40">
        <f>IFERROR(Y34/Y10,"")</f>
        <v/>
      </c>
    </row>
    <row r="64"/>
    <row r="65">
      <c r="D65" s="8" t="inlineStr">
        <is>
          <t>Net Revenue Retention [DRIVER]</t>
        </is>
      </c>
      <c r="G65" s="42" t="n"/>
      <c r="H65" s="41" t="n">
        <v>0.9399999999999999</v>
      </c>
      <c r="I65" s="41" t="n">
        <v>0.9399999999999999</v>
      </c>
      <c r="J65" s="41" t="n">
        <v>0.95</v>
      </c>
      <c r="K65" s="41" t="n">
        <v>0.95</v>
      </c>
      <c r="L65" s="41" t="n">
        <v>0.96</v>
      </c>
      <c r="M65" s="41" t="n">
        <v>0.96</v>
      </c>
      <c r="N65" s="41" t="n">
        <v>0.97</v>
      </c>
      <c r="O65" s="41" t="n">
        <v>0.97</v>
      </c>
      <c r="P65" s="41" t="n">
        <v>0.98</v>
      </c>
      <c r="R65" s="41" t="n">
        <v>0.93</v>
      </c>
      <c r="S65" s="41" t="n">
        <v>0.91</v>
      </c>
      <c r="T65" s="41" t="n">
        <v>0.95</v>
      </c>
      <c r="U65" s="41" t="n">
        <v>0.95</v>
      </c>
      <c r="V65" s="41" t="n">
        <v>0.96</v>
      </c>
      <c r="W65" s="41" t="n">
        <v>0.97</v>
      </c>
      <c r="X65" s="41" t="n">
        <v>0.98</v>
      </c>
      <c r="Y65" s="41" t="n">
        <v>0.98</v>
      </c>
    </row>
    <row r="66"/>
    <row r="67"/>
    <row r="68"/>
    <row r="69">
      <c r="B69" s="7" t="inlineStr">
        <is>
          <t>KPI Drivers</t>
        </is>
      </c>
      <c r="C69" s="7" t="n"/>
      <c r="D69" s="7" t="n"/>
      <c r="E69" s="7" t="n"/>
      <c r="F69" s="7" t="n"/>
      <c r="G69" s="7" t="n"/>
      <c r="H69" s="7" t="n"/>
      <c r="I69" s="7" t="n"/>
      <c r="J69" s="7" t="n"/>
      <c r="K69" s="7" t="n"/>
      <c r="L69" s="7" t="n"/>
      <c r="M69" s="7" t="n"/>
      <c r="N69" s="7" t="n"/>
      <c r="O69" s="7" t="n"/>
      <c r="P69" s="7" t="n"/>
      <c r="R69" s="7" t="n"/>
      <c r="S69" s="7" t="n"/>
      <c r="T69" s="7" t="n"/>
      <c r="U69" s="7" t="n"/>
      <c r="V69" s="7" t="n"/>
      <c r="W69" s="7" t="n"/>
      <c r="X69" s="7" t="n"/>
      <c r="Y69" s="7" t="n"/>
    </row>
    <row r="70"/>
    <row r="71">
      <c r="C71" s="12" t="inlineStr">
        <is>
          <t>Monthly Paying Customers (millions, period)</t>
        </is>
      </c>
      <c r="H71" s="48" t="n">
        <v>9</v>
      </c>
      <c r="I71" s="48" t="n">
        <v>9</v>
      </c>
      <c r="J71" s="48" t="n">
        <v>9.6</v>
      </c>
      <c r="K71" s="48" t="n">
        <v>10.2</v>
      </c>
      <c r="L71" s="48" t="n">
        <v>10.8</v>
      </c>
      <c r="M71" s="48" t="n">
        <v>11.3</v>
      </c>
      <c r="N71" s="48" t="n">
        <v>11.8</v>
      </c>
      <c r="O71" s="48" t="n">
        <v>12.3</v>
      </c>
      <c r="P71" s="48" t="n">
        <v>12.7</v>
      </c>
      <c r="U71" s="48" t="n">
        <v>10.2</v>
      </c>
      <c r="V71" s="48" t="n">
        <v>11.6</v>
      </c>
      <c r="W71" s="48" t="n">
        <v>13.2</v>
      </c>
      <c r="X71" s="48" t="n">
        <v>14.1</v>
      </c>
      <c r="Y71" s="48" t="n">
        <v>15</v>
      </c>
    </row>
    <row r="72">
      <c r="D72" s="8" t="inlineStr">
        <is>
          <t>YoY growth</t>
        </is>
      </c>
      <c r="K72" s="40">
        <f>IFERROR(K71/G71-1,"")</f>
        <v/>
      </c>
      <c r="L72" s="40">
        <f>IFERROR(L71/H71-1,"")</f>
        <v/>
      </c>
      <c r="M72" s="40">
        <f>IFERROR(M71/I71-1,"")</f>
        <v/>
      </c>
      <c r="N72" s="40">
        <f>IFERROR(N71/J71-1,"")</f>
        <v/>
      </c>
      <c r="O72" s="40">
        <f>IFERROR(O71/K71-1,"")</f>
        <v/>
      </c>
      <c r="P72" s="40">
        <f>IFERROR(P71/L71-1,"")</f>
        <v/>
      </c>
      <c r="U72" s="40">
        <f>IFERROR(U71/T71-1,"")</f>
        <v/>
      </c>
      <c r="V72" s="40">
        <f>IFERROR(V71/U71-1,"")</f>
        <v/>
      </c>
      <c r="W72" s="40">
        <f>IFERROR(W71/V71-1,"")</f>
        <v/>
      </c>
      <c r="X72" s="40">
        <f>IFERROR(X71/W71-1,"")</f>
        <v/>
      </c>
      <c r="Y72" s="40">
        <f>IFERROR(Y71/X71-1,"")</f>
        <v/>
      </c>
    </row>
    <row r="73"/>
    <row r="74">
      <c r="C74" s="12" t="inlineStr">
        <is>
          <t>ARPU rate (avg $/paying customer)  [Q cols = $/quarter; A cols = $/year]</t>
        </is>
      </c>
      <c r="H74" s="49">
        <f>H10/H71</f>
        <v/>
      </c>
      <c r="I74" s="50" t="n">
        <v>68</v>
      </c>
      <c r="J74" s="50" t="n">
        <v>69.5</v>
      </c>
      <c r="K74" s="50" t="n">
        <v>71.5</v>
      </c>
      <c r="L74" s="50" t="n">
        <v>72</v>
      </c>
      <c r="M74" s="50" t="n">
        <v>73.5</v>
      </c>
      <c r="N74" s="50" t="n">
        <v>75</v>
      </c>
      <c r="O74" s="50" t="n">
        <v>76.5</v>
      </c>
      <c r="P74" s="50" t="n">
        <v>77</v>
      </c>
      <c r="U74" s="50" t="n">
        <v>256</v>
      </c>
      <c r="V74" s="50" t="n">
        <v>296</v>
      </c>
      <c r="W74" s="50" t="n">
        <v>320</v>
      </c>
      <c r="X74" s="50" t="n">
        <v>354</v>
      </c>
      <c r="Y74" s="50" t="n">
        <v>384</v>
      </c>
    </row>
    <row r="75"/>
    <row r="76">
      <c r="C76" s="12" t="inlineStr">
        <is>
          <t>Revenue ($M)  [memo: Customers × ARPU; IS Revenue references this]</t>
        </is>
      </c>
      <c r="G76" s="34">
        <f>G71*G74</f>
        <v/>
      </c>
      <c r="H76" s="34">
        <f>H71*H74</f>
        <v/>
      </c>
      <c r="I76" s="34">
        <f>I71*I74</f>
        <v/>
      </c>
      <c r="J76" s="34">
        <f>J71*J74</f>
        <v/>
      </c>
      <c r="K76" s="34">
        <f>K71*K74</f>
        <v/>
      </c>
      <c r="L76" s="34">
        <f>L71*L74</f>
        <v/>
      </c>
      <c r="M76" s="34">
        <f>M71*M74</f>
        <v/>
      </c>
      <c r="N76" s="34">
        <f>N71*N74</f>
        <v/>
      </c>
      <c r="O76" s="34">
        <f>O71*O74</f>
        <v/>
      </c>
      <c r="P76" s="34">
        <f>P71*P74</f>
        <v/>
      </c>
      <c r="U76" s="34">
        <f>H76+I76+J76+K76</f>
        <v/>
      </c>
      <c r="V76" s="34">
        <f>L76+M76+N76+O76</f>
        <v/>
      </c>
      <c r="W76" s="34">
        <f>W71*W74</f>
        <v/>
      </c>
      <c r="X76" s="34">
        <f>X71*X74</f>
        <v/>
      </c>
      <c r="Y76" s="34">
        <f>Y71*Y74</f>
        <v/>
      </c>
    </row>
    <row r="77">
      <c r="D77" s="8" t="inlineStr">
        <is>
          <t>YoY growth</t>
        </is>
      </c>
      <c r="K77" s="40">
        <f>IFERROR(K76/G76-1,"")</f>
        <v/>
      </c>
      <c r="L77" s="40">
        <f>IFERROR(L76/H76-1,"")</f>
        <v/>
      </c>
      <c r="M77" s="40">
        <f>IFERROR(M76/I76-1,"")</f>
        <v/>
      </c>
      <c r="N77" s="40">
        <f>IFERROR(N76/J76-1,"")</f>
        <v/>
      </c>
      <c r="O77" s="40">
        <f>IFERROR(O76/K76-1,"")</f>
        <v/>
      </c>
      <c r="P77" s="40">
        <f>IFERROR(P76/L76-1,"")</f>
        <v/>
      </c>
      <c r="U77" s="40">
        <f>IFERROR(U76/T76-1,"")</f>
        <v/>
      </c>
      <c r="V77" s="40">
        <f>IFERROR(V76/U76-1,"")</f>
        <v/>
      </c>
      <c r="W77" s="40">
        <f>IFERROR(W76/V76-1,"")</f>
        <v/>
      </c>
      <c r="X77" s="40">
        <f>IFERROR(X76/W76-1,"")</f>
        <v/>
      </c>
      <c r="Y77" s="40">
        <f>IFERROR(Y76/X76-1,"")</f>
        <v/>
      </c>
    </row>
    <row r="78"/>
    <row r="79">
      <c r="C79" s="8" t="inlineStr">
        <is>
          <t>Net Revenue Retention rate (INFO — organic; roll-up grows via M&amp;A)</t>
        </is>
      </c>
      <c r="H79" s="41" t="n">
        <v>0.9399999999999999</v>
      </c>
      <c r="I79" s="41" t="n">
        <v>0.9399999999999999</v>
      </c>
      <c r="J79" s="41" t="n">
        <v>0.95</v>
      </c>
      <c r="K79" s="41" t="n">
        <v>0.95</v>
      </c>
      <c r="L79" s="41" t="n">
        <v>0.96</v>
      </c>
      <c r="M79" s="41" t="n">
        <v>0.96</v>
      </c>
      <c r="N79" s="41" t="n">
        <v>0.97</v>
      </c>
      <c r="O79" s="41" t="n">
        <v>0.97</v>
      </c>
      <c r="P79" s="41" t="n">
        <v>0.98</v>
      </c>
      <c r="R79" s="41" t="n">
        <v>0.93</v>
      </c>
      <c r="S79" s="41" t="n">
        <v>0.91</v>
      </c>
      <c r="T79" s="41" t="n">
        <v>0.95</v>
      </c>
      <c r="U79" s="41" t="n">
        <v>0.95</v>
      </c>
      <c r="V79" s="41" t="n">
        <v>0.96</v>
      </c>
      <c r="W79" s="41" t="n">
        <v>0.97</v>
      </c>
      <c r="X79" s="41" t="n">
        <v>0.98</v>
      </c>
      <c r="Y79" s="41" t="n">
        <v>0.98</v>
      </c>
    </row>
    <row r="80"/>
    <row r="81"/>
    <row r="82">
      <c r="B82" s="21" t="inlineStr">
        <is>
          <t>Balance Sheet</t>
        </is>
      </c>
      <c r="C82" s="21" t="n"/>
      <c r="D82" s="21" t="n"/>
      <c r="E82" s="21" t="n"/>
      <c r="F82" s="21" t="n"/>
      <c r="G82" s="21" t="n"/>
      <c r="H82" s="21" t="n"/>
      <c r="I82" s="21" t="n"/>
      <c r="J82" s="21" t="n"/>
      <c r="K82" s="21" t="n"/>
      <c r="L82" s="21" t="n"/>
      <c r="M82" s="21" t="n"/>
      <c r="N82" s="21" t="n"/>
      <c r="O82" s="21" t="n"/>
      <c r="P82" s="21" t="n"/>
      <c r="R82" s="21" t="n"/>
      <c r="S82" s="21" t="n"/>
      <c r="T82" s="21" t="n"/>
      <c r="U82" s="21" t="n"/>
      <c r="V82" s="21" t="n"/>
      <c r="W82" s="21" t="n"/>
      <c r="X82" s="21" t="n"/>
      <c r="Y82" s="21" t="n"/>
    </row>
    <row r="83">
      <c r="C83" s="8" t="inlineStr">
        <is>
          <t>Source: F-1/A. Dec'23/'24/'25 audited; Mar'26 interim. Q1'25 (Mar'25) BS NOT FILED (IAS 34 compares to prior FY-end) — column G blank, expected. Equity condensed: APIC + Other equity.</t>
        </is>
      </c>
    </row>
    <row r="84">
      <c r="A84" s="9" t="inlineStr">
        <is>
          <t>x</t>
        </is>
      </c>
      <c r="D84" s="12" t="inlineStr">
        <is>
          <t>Cash and Cash Equivalents</t>
        </is>
      </c>
      <c r="G84" s="43" t="n"/>
      <c r="H84" s="33" t="n">
        <v>740.823</v>
      </c>
      <c r="I84" s="34">
        <f>H84+I192</f>
        <v/>
      </c>
      <c r="J84" s="34">
        <f>I84+J192</f>
        <v/>
      </c>
      <c r="K84" s="34">
        <f>J84+K192</f>
        <v/>
      </c>
      <c r="L84" s="34">
        <f>K84+L192</f>
        <v/>
      </c>
      <c r="M84" s="34">
        <f>L84+M192</f>
        <v/>
      </c>
      <c r="N84" s="34">
        <f>M84+N192</f>
        <v/>
      </c>
      <c r="O84" s="34">
        <f>N84+O192</f>
        <v/>
      </c>
      <c r="P84" s="34">
        <f>O84+P192</f>
        <v/>
      </c>
      <c r="R84" s="33" t="n">
        <v>289.063</v>
      </c>
      <c r="S84" s="33" t="n">
        <v>238.723</v>
      </c>
      <c r="T84" s="33" t="n">
        <v>629.944</v>
      </c>
      <c r="U84" s="34">
        <f>K84</f>
        <v/>
      </c>
      <c r="V84" s="34">
        <f>O84</f>
        <v/>
      </c>
      <c r="W84" s="34">
        <f>V84+W192</f>
        <v/>
      </c>
      <c r="X84" s="34">
        <f>W84+X192</f>
        <v/>
      </c>
      <c r="Y84" s="34">
        <f>X84+Y192</f>
        <v/>
      </c>
    </row>
    <row r="85">
      <c r="D85" s="12" t="inlineStr">
        <is>
          <t>Accounts Receivable, net</t>
        </is>
      </c>
      <c r="G85" s="43" t="n"/>
      <c r="H85" s="37" t="n">
        <v>259.906</v>
      </c>
      <c r="I85" s="38">
        <f>I141*I10</f>
        <v/>
      </c>
      <c r="J85" s="38">
        <f>J141*J10</f>
        <v/>
      </c>
      <c r="K85" s="38">
        <f>K141*K10</f>
        <v/>
      </c>
      <c r="L85" s="38">
        <f>L141*L10</f>
        <v/>
      </c>
      <c r="M85" s="38">
        <f>M141*M10</f>
        <v/>
      </c>
      <c r="N85" s="38">
        <f>N141*N10</f>
        <v/>
      </c>
      <c r="O85" s="38">
        <f>O141*O10</f>
        <v/>
      </c>
      <c r="P85" s="38">
        <f>P141*P10</f>
        <v/>
      </c>
      <c r="R85" s="37" t="n">
        <v>37.684</v>
      </c>
      <c r="S85" s="37" t="n">
        <v>85.88</v>
      </c>
      <c r="T85" s="37" t="n">
        <v>144.593</v>
      </c>
      <c r="U85" s="38">
        <f>K85</f>
        <v/>
      </c>
      <c r="V85" s="38">
        <f>O85</f>
        <v/>
      </c>
      <c r="W85" s="38">
        <f>W141*W10</f>
        <v/>
      </c>
      <c r="X85" s="38">
        <f>X141*X10</f>
        <v/>
      </c>
      <c r="Y85" s="38">
        <f>Y141*Y10</f>
        <v/>
      </c>
    </row>
    <row r="86">
      <c r="D86" s="12" t="inlineStr">
        <is>
          <t>Income Tax Receivables, current</t>
        </is>
      </c>
      <c r="G86" s="43" t="n"/>
      <c r="H86" s="37" t="n">
        <v>12.211</v>
      </c>
      <c r="I86" s="38">
        <f>H86</f>
        <v/>
      </c>
      <c r="J86" s="38">
        <f>I86</f>
        <v/>
      </c>
      <c r="K86" s="38">
        <f>J86</f>
        <v/>
      </c>
      <c r="L86" s="38">
        <f>K86</f>
        <v/>
      </c>
      <c r="M86" s="38">
        <f>L86</f>
        <v/>
      </c>
      <c r="N86" s="38">
        <f>M86</f>
        <v/>
      </c>
      <c r="O86" s="38">
        <f>N86</f>
        <v/>
      </c>
      <c r="P86" s="38">
        <f>O86</f>
        <v/>
      </c>
      <c r="R86" s="37" t="n">
        <v>0.115</v>
      </c>
      <c r="S86" s="37" t="n">
        <v>5.162</v>
      </c>
      <c r="T86" s="37" t="n">
        <v>12.838</v>
      </c>
      <c r="U86" s="38">
        <f>K86</f>
        <v/>
      </c>
      <c r="V86" s="38">
        <f>O86</f>
        <v/>
      </c>
      <c r="W86" s="38">
        <f>V86</f>
        <v/>
      </c>
      <c r="X86" s="38">
        <f>W86</f>
        <v/>
      </c>
      <c r="Y86" s="38">
        <f>X86</f>
        <v/>
      </c>
    </row>
    <row r="87">
      <c r="D87" s="12" t="inlineStr">
        <is>
          <t>Costs to Obtain Contracts, current</t>
        </is>
      </c>
      <c r="G87" s="43" t="n"/>
      <c r="H87" s="37" t="n">
        <v>17.46</v>
      </c>
      <c r="I87" s="38">
        <f>I144*I10</f>
        <v/>
      </c>
      <c r="J87" s="38">
        <f>J144*J10</f>
        <v/>
      </c>
      <c r="K87" s="38">
        <f>K144*K10</f>
        <v/>
      </c>
      <c r="L87" s="38">
        <f>L144*L10</f>
        <v/>
      </c>
      <c r="M87" s="38">
        <f>M144*M10</f>
        <v/>
      </c>
      <c r="N87" s="38">
        <f>N144*N10</f>
        <v/>
      </c>
      <c r="O87" s="38">
        <f>O144*O10</f>
        <v/>
      </c>
      <c r="P87" s="38">
        <f>P144*P10</f>
        <v/>
      </c>
      <c r="R87" s="37" t="n">
        <v>4.991</v>
      </c>
      <c r="S87" s="37" t="n">
        <v>11.212</v>
      </c>
      <c r="T87" s="37" t="n">
        <v>16.545</v>
      </c>
      <c r="U87" s="38">
        <f>K87</f>
        <v/>
      </c>
      <c r="V87" s="38">
        <f>O87</f>
        <v/>
      </c>
      <c r="W87" s="38">
        <f>W144*W10</f>
        <v/>
      </c>
      <c r="X87" s="38">
        <f>X144*X10</f>
        <v/>
      </c>
      <c r="Y87" s="38">
        <f>Y144*Y10</f>
        <v/>
      </c>
    </row>
    <row r="88">
      <c r="D88" s="12" t="inlineStr">
        <is>
          <t>Prepaid Expenses</t>
        </is>
      </c>
      <c r="G88" s="43" t="n"/>
      <c r="H88" s="37" t="n">
        <v>52.016</v>
      </c>
      <c r="I88" s="38">
        <f>I142*I10</f>
        <v/>
      </c>
      <c r="J88" s="38">
        <f>J142*J10</f>
        <v/>
      </c>
      <c r="K88" s="38">
        <f>K142*K10</f>
        <v/>
      </c>
      <c r="L88" s="38">
        <f>L142*L10</f>
        <v/>
      </c>
      <c r="M88" s="38">
        <f>M142*M10</f>
        <v/>
      </c>
      <c r="N88" s="38">
        <f>N142*N10</f>
        <v/>
      </c>
      <c r="O88" s="38">
        <f>O142*O10</f>
        <v/>
      </c>
      <c r="P88" s="38">
        <f>P142*P10</f>
        <v/>
      </c>
      <c r="R88" s="37" t="n">
        <v>3.155</v>
      </c>
      <c r="S88" s="37" t="n">
        <v>11.309</v>
      </c>
      <c r="T88" s="37" t="n">
        <v>40.433</v>
      </c>
      <c r="U88" s="38">
        <f>K88</f>
        <v/>
      </c>
      <c r="V88" s="38">
        <f>O88</f>
        <v/>
      </c>
      <c r="W88" s="38">
        <f>W142*W10</f>
        <v/>
      </c>
      <c r="X88" s="38">
        <f>X142*X10</f>
        <v/>
      </c>
      <c r="Y88" s="38">
        <f>Y142*Y10</f>
        <v/>
      </c>
    </row>
    <row r="89">
      <c r="D89" s="12" t="inlineStr">
        <is>
          <t>Other Current Assets</t>
        </is>
      </c>
      <c r="G89" s="43" t="n"/>
      <c r="H89" s="37" t="n">
        <v>153.727</v>
      </c>
      <c r="I89" s="38">
        <f>I143*I10</f>
        <v/>
      </c>
      <c r="J89" s="38">
        <f>J143*J10</f>
        <v/>
      </c>
      <c r="K89" s="38">
        <f>K143*K10</f>
        <v/>
      </c>
      <c r="L89" s="38">
        <f>L143*L10</f>
        <v/>
      </c>
      <c r="M89" s="38">
        <f>M143*M10</f>
        <v/>
      </c>
      <c r="N89" s="38">
        <f>N143*N10</f>
        <v/>
      </c>
      <c r="O89" s="38">
        <f>O143*O10</f>
        <v/>
      </c>
      <c r="P89" s="38">
        <f>P143*P10</f>
        <v/>
      </c>
      <c r="R89" s="37" t="n">
        <v>22.877</v>
      </c>
      <c r="S89" s="37" t="n">
        <v>100.992</v>
      </c>
      <c r="T89" s="37" t="n">
        <v>74.312</v>
      </c>
      <c r="U89" s="38">
        <f>K89</f>
        <v/>
      </c>
      <c r="V89" s="38">
        <f>O89</f>
        <v/>
      </c>
      <c r="W89" s="38">
        <f>W143*W10</f>
        <v/>
      </c>
      <c r="X89" s="38">
        <f>X143*X10</f>
        <v/>
      </c>
      <c r="Y89" s="38">
        <f>Y143*Y10</f>
        <v/>
      </c>
    </row>
    <row r="90">
      <c r="A90" s="9" t="inlineStr">
        <is>
          <t>x</t>
        </is>
      </c>
      <c r="C90" s="10" t="inlineStr">
        <is>
          <t>Total Current Assets</t>
        </is>
      </c>
      <c r="H90" s="35">
        <f>SUM(H84:H89)</f>
        <v/>
      </c>
      <c r="I90" s="35">
        <f>SUM(I84:I89)</f>
        <v/>
      </c>
      <c r="J90" s="35">
        <f>SUM(J84:J89)</f>
        <v/>
      </c>
      <c r="K90" s="35">
        <f>SUM(K84:K89)</f>
        <v/>
      </c>
      <c r="L90" s="35">
        <f>SUM(L84:L89)</f>
        <v/>
      </c>
      <c r="M90" s="35">
        <f>SUM(M84:M89)</f>
        <v/>
      </c>
      <c r="N90" s="35">
        <f>SUM(N84:N89)</f>
        <v/>
      </c>
      <c r="O90" s="35">
        <f>SUM(O84:O89)</f>
        <v/>
      </c>
      <c r="P90" s="35">
        <f>SUM(P84:P89)</f>
        <v/>
      </c>
      <c r="R90" s="35">
        <f>SUM(R84:R89)</f>
        <v/>
      </c>
      <c r="S90" s="35">
        <f>SUM(S84:S89)</f>
        <v/>
      </c>
      <c r="T90" s="35">
        <f>SUM(T84:T89)</f>
        <v/>
      </c>
      <c r="U90" s="35">
        <f>K90</f>
        <v/>
      </c>
      <c r="V90" s="35">
        <f>O90</f>
        <v/>
      </c>
      <c r="W90" s="35">
        <f>SUM(W84:W89)</f>
        <v/>
      </c>
      <c r="X90" s="35">
        <f>SUM(X84:X89)</f>
        <v/>
      </c>
      <c r="Y90" s="35">
        <f>SUM(Y84:Y89)</f>
        <v/>
      </c>
    </row>
    <row r="91">
      <c r="D91" s="8" t="inlineStr">
        <is>
          <t>Reconciliation: variance vs. as-reported</t>
        </is>
      </c>
      <c r="H91" s="36">
        <f>IF(_reported!H19="","",H90-_reported!H19)</f>
        <v/>
      </c>
      <c r="R91" s="36">
        <f>IF(_reported!R19="","",R90-_reported!R19)</f>
        <v/>
      </c>
      <c r="S91" s="36">
        <f>IF(_reported!S19="","",S90-_reported!S19)</f>
        <v/>
      </c>
      <c r="T91" s="36">
        <f>IF(_reported!T19="","",T90-_reported!T19)</f>
        <v/>
      </c>
    </row>
    <row r="92"/>
    <row r="93">
      <c r="D93" s="12" t="inlineStr">
        <is>
          <t>Goodwill</t>
        </is>
      </c>
      <c r="G93" s="43" t="n"/>
      <c r="H93" s="33" t="n">
        <v>3551.252</v>
      </c>
      <c r="I93" s="34">
        <f>H93+50</f>
        <v/>
      </c>
      <c r="J93" s="34">
        <f>I93+50</f>
        <v/>
      </c>
      <c r="K93" s="34">
        <f>J93+60</f>
        <v/>
      </c>
      <c r="L93" s="34">
        <f>K93+60</f>
        <v/>
      </c>
      <c r="M93" s="34">
        <f>L93+55</f>
        <v/>
      </c>
      <c r="N93" s="34">
        <f>M93+55</f>
        <v/>
      </c>
      <c r="O93" s="34">
        <f>N93+50</f>
        <v/>
      </c>
      <c r="P93" s="34">
        <f>O93+50</f>
        <v/>
      </c>
      <c r="R93" s="33" t="n">
        <v>163.863</v>
      </c>
      <c r="S93" s="33" t="n">
        <v>693.5119999999999</v>
      </c>
      <c r="T93" s="33" t="n">
        <v>2423.57</v>
      </c>
      <c r="U93" s="34">
        <f>K93</f>
        <v/>
      </c>
      <c r="V93" s="34">
        <f>O93</f>
        <v/>
      </c>
      <c r="W93" s="34">
        <f>V93+250</f>
        <v/>
      </c>
      <c r="X93" s="34">
        <f>W93+200</f>
        <v/>
      </c>
      <c r="Y93" s="34">
        <f>X93+200</f>
        <v/>
      </c>
    </row>
    <row r="94">
      <c r="D94" s="12" t="inlineStr">
        <is>
          <t>Intangible Assets, net</t>
        </is>
      </c>
      <c r="G94" s="43" t="n"/>
      <c r="H94" s="37" t="n">
        <v>1897.319</v>
      </c>
      <c r="I94" s="38">
        <f>H94-I148*H94+30</f>
        <v/>
      </c>
      <c r="J94" s="38">
        <f>I94-J148*I94+30</f>
        <v/>
      </c>
      <c r="K94" s="38">
        <f>J94-K148*J94+35</f>
        <v/>
      </c>
      <c r="L94" s="38">
        <f>K94-L148*K94+35</f>
        <v/>
      </c>
      <c r="M94" s="38">
        <f>L94-M148*L94+30</f>
        <v/>
      </c>
      <c r="N94" s="38">
        <f>M94-N148*M94+30</f>
        <v/>
      </c>
      <c r="O94" s="38">
        <f>N94-O148*N94+25</f>
        <v/>
      </c>
      <c r="P94" s="38">
        <f>O94-P148*O94+25</f>
        <v/>
      </c>
      <c r="R94" s="37" t="n">
        <v>162.127</v>
      </c>
      <c r="S94" s="37" t="n">
        <v>529.122</v>
      </c>
      <c r="T94" s="37" t="n">
        <v>1077.974</v>
      </c>
      <c r="U94" s="38">
        <f>K94</f>
        <v/>
      </c>
      <c r="V94" s="38">
        <f>O94</f>
        <v/>
      </c>
      <c r="W94" s="38">
        <f>V94-W148*V94+150</f>
        <v/>
      </c>
      <c r="X94" s="38">
        <f>W94-X148*W94+120</f>
        <v/>
      </c>
      <c r="Y94" s="38">
        <f>X94-Y148*X94+120</f>
        <v/>
      </c>
    </row>
    <row r="95">
      <c r="D95" s="12" t="inlineStr">
        <is>
          <t>Property, Plant &amp; Equipment, net</t>
        </is>
      </c>
      <c r="G95" s="43" t="n"/>
      <c r="H95" s="37" t="n">
        <v>13.255</v>
      </c>
      <c r="I95" s="38">
        <f>H95-I175-I156</f>
        <v/>
      </c>
      <c r="J95" s="38">
        <f>I95-J175-J156</f>
        <v/>
      </c>
      <c r="K95" s="38">
        <f>J95-K175-K156</f>
        <v/>
      </c>
      <c r="L95" s="38">
        <f>K95-L175-L156</f>
        <v/>
      </c>
      <c r="M95" s="38">
        <f>L95-M175-M156</f>
        <v/>
      </c>
      <c r="N95" s="38">
        <f>M95-N175-N156</f>
        <v/>
      </c>
      <c r="O95" s="38">
        <f>N95-O175-O156</f>
        <v/>
      </c>
      <c r="P95" s="38">
        <f>O95-P175-P156</f>
        <v/>
      </c>
      <c r="R95" s="37" t="n">
        <v>8.920999999999999</v>
      </c>
      <c r="S95" s="37" t="n">
        <v>9.125999999999999</v>
      </c>
      <c r="T95" s="37" t="n">
        <v>11.078</v>
      </c>
      <c r="U95" s="38">
        <f>K95</f>
        <v/>
      </c>
      <c r="V95" s="38">
        <f>O95</f>
        <v/>
      </c>
      <c r="W95" s="38">
        <f>V95-W175-W156</f>
        <v/>
      </c>
      <c r="X95" s="38">
        <f>W95-X175-X156</f>
        <v/>
      </c>
      <c r="Y95" s="38">
        <f>X95-Y175-Y156</f>
        <v/>
      </c>
    </row>
    <row r="96">
      <c r="D96" s="12" t="inlineStr">
        <is>
          <t>Deferred Tax Assets</t>
        </is>
      </c>
      <c r="G96" s="43" t="n"/>
      <c r="H96" s="37" t="n">
        <v>175.972</v>
      </c>
      <c r="I96" s="38">
        <f>H96</f>
        <v/>
      </c>
      <c r="J96" s="38">
        <f>I96</f>
        <v/>
      </c>
      <c r="K96" s="38">
        <f>J96</f>
        <v/>
      </c>
      <c r="L96" s="38">
        <f>K96</f>
        <v/>
      </c>
      <c r="M96" s="38">
        <f>L96</f>
        <v/>
      </c>
      <c r="N96" s="38">
        <f>M96</f>
        <v/>
      </c>
      <c r="O96" s="38">
        <f>N96</f>
        <v/>
      </c>
      <c r="P96" s="38">
        <f>O96</f>
        <v/>
      </c>
      <c r="R96" s="37" t="n">
        <v>224.761</v>
      </c>
      <c r="S96" s="37" t="n">
        <v>182.265</v>
      </c>
      <c r="T96" s="37" t="n">
        <v>271.073</v>
      </c>
      <c r="U96" s="38">
        <f>K96</f>
        <v/>
      </c>
      <c r="V96" s="38">
        <f>O96</f>
        <v/>
      </c>
      <c r="W96" s="38">
        <f>V96</f>
        <v/>
      </c>
      <c r="X96" s="38">
        <f>W96</f>
        <v/>
      </c>
      <c r="Y96" s="38">
        <f>X96</f>
        <v/>
      </c>
    </row>
    <row r="97">
      <c r="D97" s="12" t="inlineStr">
        <is>
          <t>Costs to Obtain Contracts, non-current</t>
        </is>
      </c>
      <c r="G97" s="43" t="n"/>
      <c r="H97" s="37" t="n">
        <v>0.612</v>
      </c>
      <c r="I97" s="38">
        <f>H97</f>
        <v/>
      </c>
      <c r="J97" s="38">
        <f>I97</f>
        <v/>
      </c>
      <c r="K97" s="38">
        <f>J97</f>
        <v/>
      </c>
      <c r="L97" s="38">
        <f>K97</f>
        <v/>
      </c>
      <c r="M97" s="38">
        <f>L97</f>
        <v/>
      </c>
      <c r="N97" s="38">
        <f>M97</f>
        <v/>
      </c>
      <c r="O97" s="38">
        <f>N97</f>
        <v/>
      </c>
      <c r="P97" s="38">
        <f>O97</f>
        <v/>
      </c>
      <c r="R97" s="37" t="n">
        <v>0</v>
      </c>
      <c r="S97" s="37" t="n">
        <v>0</v>
      </c>
      <c r="T97" s="37" t="n">
        <v>0.523</v>
      </c>
      <c r="U97" s="38">
        <f>K97</f>
        <v/>
      </c>
      <c r="V97" s="38">
        <f>O97</f>
        <v/>
      </c>
      <c r="W97" s="38">
        <f>V97</f>
        <v/>
      </c>
      <c r="X97" s="38">
        <f>W97</f>
        <v/>
      </c>
      <c r="Y97" s="38">
        <f>X97</f>
        <v/>
      </c>
    </row>
    <row r="98">
      <c r="D98" s="12" t="inlineStr">
        <is>
          <t>Other Non-Current Assets, net</t>
        </is>
      </c>
      <c r="G98" s="43" t="n"/>
      <c r="H98" s="37" t="n">
        <v>108.319</v>
      </c>
      <c r="I98" s="38">
        <f>H98</f>
        <v/>
      </c>
      <c r="J98" s="38">
        <f>I98</f>
        <v/>
      </c>
      <c r="K98" s="38">
        <f>J98</f>
        <v/>
      </c>
      <c r="L98" s="38">
        <f>K98</f>
        <v/>
      </c>
      <c r="M98" s="38">
        <f>L98</f>
        <v/>
      </c>
      <c r="N98" s="38">
        <f>M98</f>
        <v/>
      </c>
      <c r="O98" s="38">
        <f>N98</f>
        <v/>
      </c>
      <c r="P98" s="38">
        <f>O98</f>
        <v/>
      </c>
      <c r="R98" s="37" t="n">
        <v>19.187</v>
      </c>
      <c r="S98" s="37" t="n">
        <v>17.676</v>
      </c>
      <c r="T98" s="37" t="n">
        <v>54.611</v>
      </c>
      <c r="U98" s="38">
        <f>K98</f>
        <v/>
      </c>
      <c r="V98" s="38">
        <f>O98</f>
        <v/>
      </c>
      <c r="W98" s="38">
        <f>V98</f>
        <v/>
      </c>
      <c r="X98" s="38">
        <f>W98</f>
        <v/>
      </c>
      <c r="Y98" s="38">
        <f>X98</f>
        <v/>
      </c>
    </row>
    <row r="99">
      <c r="A99" s="9" t="inlineStr">
        <is>
          <t>x</t>
        </is>
      </c>
      <c r="B99" s="10" t="inlineStr">
        <is>
          <t>Total Assets</t>
        </is>
      </c>
      <c r="H99" s="35">
        <f>H90+H93+H94+H95+H96+H97+H98</f>
        <v/>
      </c>
      <c r="I99" s="35">
        <f>I90+I93+I94+I95+I96+I97+I98</f>
        <v/>
      </c>
      <c r="J99" s="35">
        <f>J90+J93+J94+J95+J96+J97+J98</f>
        <v/>
      </c>
      <c r="K99" s="35">
        <f>K90+K93+K94+K95+K96+K97+K98</f>
        <v/>
      </c>
      <c r="L99" s="35">
        <f>L90+L93+L94+L95+L96+L97+L98</f>
        <v/>
      </c>
      <c r="M99" s="35">
        <f>M90+M93+M94+M95+M96+M97+M98</f>
        <v/>
      </c>
      <c r="N99" s="35">
        <f>N90+N93+N94+N95+N96+N97+N98</f>
        <v/>
      </c>
      <c r="O99" s="35">
        <f>O90+O93+O94+O95+O96+O97+O98</f>
        <v/>
      </c>
      <c r="P99" s="35">
        <f>P90+P93+P94+P95+P96+P97+P98</f>
        <v/>
      </c>
      <c r="R99" s="35">
        <f>R90+R93+R94+R95+R96+R97+R98</f>
        <v/>
      </c>
      <c r="S99" s="35">
        <f>S90+S93+S94+S95+S96+S97+S98</f>
        <v/>
      </c>
      <c r="T99" s="35">
        <f>T90+T93+T94+T95+T96+T97+T98</f>
        <v/>
      </c>
      <c r="U99" s="35">
        <f>K99</f>
        <v/>
      </c>
      <c r="V99" s="35">
        <f>O99</f>
        <v/>
      </c>
      <c r="W99" s="35">
        <f>W90+W93+W94+W95+W96+W97+W98</f>
        <v/>
      </c>
      <c r="X99" s="35">
        <f>X90+X93+X94+X95+X96+X97+X98</f>
        <v/>
      </c>
      <c r="Y99" s="35">
        <f>Y90+Y93+Y94+Y95+Y96+Y97+Y98</f>
        <v/>
      </c>
    </row>
    <row r="100">
      <c r="D100" s="8" t="inlineStr">
        <is>
          <t>Reconciliation: variance vs. as-reported</t>
        </is>
      </c>
      <c r="H100" s="36">
        <f>IF(_reported!H20="","",H99-_reported!H20)</f>
        <v/>
      </c>
      <c r="R100" s="36">
        <f>IF(_reported!R20="","",R99-_reported!R20)</f>
        <v/>
      </c>
      <c r="S100" s="36">
        <f>IF(_reported!S20="","",S99-_reported!S20)</f>
        <v/>
      </c>
      <c r="T100" s="36">
        <f>IF(_reported!T20="","",T99-_reported!T20)</f>
        <v/>
      </c>
    </row>
    <row r="101"/>
    <row r="102">
      <c r="D102" s="12" t="inlineStr">
        <is>
          <t>Accounts Payable</t>
        </is>
      </c>
      <c r="G102" s="43" t="n"/>
      <c r="H102" s="33" t="n">
        <v>31.576</v>
      </c>
      <c r="I102" s="34">
        <f>I147*I10</f>
        <v/>
      </c>
      <c r="J102" s="34">
        <f>J147*J10</f>
        <v/>
      </c>
      <c r="K102" s="34">
        <f>K147*K10</f>
        <v/>
      </c>
      <c r="L102" s="34">
        <f>L147*L10</f>
        <v/>
      </c>
      <c r="M102" s="34">
        <f>M147*M10</f>
        <v/>
      </c>
      <c r="N102" s="34">
        <f>N147*N10</f>
        <v/>
      </c>
      <c r="O102" s="34">
        <f>O147*O10</f>
        <v/>
      </c>
      <c r="P102" s="34">
        <f>P147*P10</f>
        <v/>
      </c>
      <c r="R102" s="33" t="n">
        <v>2.055</v>
      </c>
      <c r="S102" s="33" t="n">
        <v>14.999</v>
      </c>
      <c r="T102" s="33" t="n">
        <v>21.413</v>
      </c>
      <c r="U102" s="34">
        <f>K102</f>
        <v/>
      </c>
      <c r="V102" s="34">
        <f>O102</f>
        <v/>
      </c>
      <c r="W102" s="34">
        <f>W147*W10</f>
        <v/>
      </c>
      <c r="X102" s="34">
        <f>X147*X10</f>
        <v/>
      </c>
      <c r="Y102" s="34">
        <f>Y147*Y10</f>
        <v/>
      </c>
    </row>
    <row r="103">
      <c r="D103" s="12" t="inlineStr">
        <is>
          <t>Long-Term Debt, current</t>
        </is>
      </c>
      <c r="G103" s="43" t="n"/>
      <c r="H103" s="37" t="n">
        <v>425.582</v>
      </c>
      <c r="I103" s="38">
        <f>H103</f>
        <v/>
      </c>
      <c r="J103" s="38">
        <f>I103</f>
        <v/>
      </c>
      <c r="K103" s="38">
        <f>J103</f>
        <v/>
      </c>
      <c r="L103" s="38">
        <f>K103</f>
        <v/>
      </c>
      <c r="M103" s="38">
        <f>L103</f>
        <v/>
      </c>
      <c r="N103" s="38">
        <f>M103</f>
        <v/>
      </c>
      <c r="O103" s="38">
        <f>N103</f>
        <v/>
      </c>
      <c r="P103" s="38">
        <f>O103</f>
        <v/>
      </c>
      <c r="R103" s="37" t="n">
        <v>87.849</v>
      </c>
      <c r="S103" s="37" t="n">
        <v>111.501</v>
      </c>
      <c r="T103" s="37" t="n">
        <v>415.26</v>
      </c>
      <c r="U103" s="38">
        <f>K103</f>
        <v/>
      </c>
      <c r="V103" s="38">
        <f>O103</f>
        <v/>
      </c>
      <c r="W103" s="38">
        <f>V103</f>
        <v/>
      </c>
      <c r="X103" s="38">
        <f>W103</f>
        <v/>
      </c>
      <c r="Y103" s="38">
        <f>X103</f>
        <v/>
      </c>
    </row>
    <row r="104">
      <c r="D104" s="12" t="inlineStr">
        <is>
          <t>Deferred Revenue, current</t>
        </is>
      </c>
      <c r="G104" s="43" t="n"/>
      <c r="H104" s="37" t="n">
        <v>478.614</v>
      </c>
      <c r="I104" s="38">
        <f>I145*I10</f>
        <v/>
      </c>
      <c r="J104" s="38">
        <f>J145*J10</f>
        <v/>
      </c>
      <c r="K104" s="38">
        <f>K145*K10</f>
        <v/>
      </c>
      <c r="L104" s="38">
        <f>L145*L10</f>
        <v/>
      </c>
      <c r="M104" s="38">
        <f>M145*M10</f>
        <v/>
      </c>
      <c r="N104" s="38">
        <f>N145*N10</f>
        <v/>
      </c>
      <c r="O104" s="38">
        <f>O145*O10</f>
        <v/>
      </c>
      <c r="P104" s="38">
        <f>P145*P10</f>
        <v/>
      </c>
      <c r="R104" s="37" t="n">
        <v>57.943</v>
      </c>
      <c r="S104" s="37" t="n">
        <v>149.156</v>
      </c>
      <c r="T104" s="37" t="n">
        <v>450.499</v>
      </c>
      <c r="U104" s="38">
        <f>K104</f>
        <v/>
      </c>
      <c r="V104" s="38">
        <f>O104</f>
        <v/>
      </c>
      <c r="W104" s="38">
        <f>W145*W10</f>
        <v/>
      </c>
      <c r="X104" s="38">
        <f>X145*X10</f>
        <v/>
      </c>
      <c r="Y104" s="38">
        <f>Y145*Y10</f>
        <v/>
      </c>
    </row>
    <row r="105">
      <c r="D105" s="12" t="inlineStr">
        <is>
          <t>Income Tax Current Liabilities</t>
        </is>
      </c>
      <c r="G105" s="43" t="n"/>
      <c r="H105" s="37" t="n">
        <v>105.366</v>
      </c>
      <c r="I105" s="38">
        <f>H105</f>
        <v/>
      </c>
      <c r="J105" s="38">
        <f>I105</f>
        <v/>
      </c>
      <c r="K105" s="38">
        <f>J105</f>
        <v/>
      </c>
      <c r="L105" s="38">
        <f>K105</f>
        <v/>
      </c>
      <c r="M105" s="38">
        <f>L105</f>
        <v/>
      </c>
      <c r="N105" s="38">
        <f>M105</f>
        <v/>
      </c>
      <c r="O105" s="38">
        <f>N105</f>
        <v/>
      </c>
      <c r="P105" s="38">
        <f>O105</f>
        <v/>
      </c>
      <c r="R105" s="37" t="n">
        <v>90.89400000000001</v>
      </c>
      <c r="S105" s="37" t="n">
        <v>62.401</v>
      </c>
      <c r="T105" s="37" t="n">
        <v>65.407</v>
      </c>
      <c r="U105" s="38">
        <f>K105</f>
        <v/>
      </c>
      <c r="V105" s="38">
        <f>O105</f>
        <v/>
      </c>
      <c r="W105" s="38">
        <f>V105</f>
        <v/>
      </c>
      <c r="X105" s="38">
        <f>W105</f>
        <v/>
      </c>
      <c r="Y105" s="38">
        <f>X105</f>
        <v/>
      </c>
    </row>
    <row r="106">
      <c r="D106" s="12" t="inlineStr">
        <is>
          <t>Accrued and Other Current Liabilities</t>
        </is>
      </c>
      <c r="G106" s="43" t="n"/>
      <c r="H106" s="37" t="n">
        <v>535.454</v>
      </c>
      <c r="I106" s="38">
        <f>I146*I10</f>
        <v/>
      </c>
      <c r="J106" s="38">
        <f>J146*J10</f>
        <v/>
      </c>
      <c r="K106" s="38">
        <f>K146*K10</f>
        <v/>
      </c>
      <c r="L106" s="38">
        <f>L146*L10</f>
        <v/>
      </c>
      <c r="M106" s="38">
        <f>M146*M10</f>
        <v/>
      </c>
      <c r="N106" s="38">
        <f>N146*N10</f>
        <v/>
      </c>
      <c r="O106" s="38">
        <f>O146*O10</f>
        <v/>
      </c>
      <c r="P106" s="38">
        <f>P146*P10</f>
        <v/>
      </c>
      <c r="R106" s="37" t="n">
        <v>31.066</v>
      </c>
      <c r="S106" s="37" t="n">
        <v>76.19199999999999</v>
      </c>
      <c r="T106" s="37" t="n">
        <v>165.951</v>
      </c>
      <c r="U106" s="38">
        <f>K106</f>
        <v/>
      </c>
      <c r="V106" s="38">
        <f>O106</f>
        <v/>
      </c>
      <c r="W106" s="38">
        <f>W146*W10</f>
        <v/>
      </c>
      <c r="X106" s="38">
        <f>X146*X10</f>
        <v/>
      </c>
      <c r="Y106" s="38">
        <f>Y146*Y10</f>
        <v/>
      </c>
    </row>
    <row r="107">
      <c r="A107" s="9" t="inlineStr">
        <is>
          <t>x</t>
        </is>
      </c>
      <c r="C107" s="10" t="inlineStr">
        <is>
          <t>Total Current Liabilities</t>
        </is>
      </c>
      <c r="H107" s="35">
        <f>SUM(H102:H106)</f>
        <v/>
      </c>
      <c r="I107" s="35">
        <f>SUM(I102:I106)</f>
        <v/>
      </c>
      <c r="J107" s="35">
        <f>SUM(J102:J106)</f>
        <v/>
      </c>
      <c r="K107" s="35">
        <f>SUM(K102:K106)</f>
        <v/>
      </c>
      <c r="L107" s="35">
        <f>SUM(L102:L106)</f>
        <v/>
      </c>
      <c r="M107" s="35">
        <f>SUM(M102:M106)</f>
        <v/>
      </c>
      <c r="N107" s="35">
        <f>SUM(N102:N106)</f>
        <v/>
      </c>
      <c r="O107" s="35">
        <f>SUM(O102:O106)</f>
        <v/>
      </c>
      <c r="P107" s="35">
        <f>SUM(P102:P106)</f>
        <v/>
      </c>
      <c r="R107" s="35">
        <f>SUM(R102:R106)</f>
        <v/>
      </c>
      <c r="S107" s="35">
        <f>SUM(S102:S106)</f>
        <v/>
      </c>
      <c r="T107" s="35">
        <f>SUM(T102:T106)</f>
        <v/>
      </c>
      <c r="U107" s="35">
        <f>K107</f>
        <v/>
      </c>
      <c r="V107" s="35">
        <f>O107</f>
        <v/>
      </c>
      <c r="W107" s="35">
        <f>SUM(W102:W106)</f>
        <v/>
      </c>
      <c r="X107" s="35">
        <f>SUM(X102:X106)</f>
        <v/>
      </c>
      <c r="Y107" s="35">
        <f>SUM(Y102:Y106)</f>
        <v/>
      </c>
    </row>
    <row r="108">
      <c r="D108" s="8" t="inlineStr">
        <is>
          <t>Reconciliation: variance vs. as-reported</t>
        </is>
      </c>
      <c r="H108" s="36">
        <f>IF(_reported!H21="","",H107-_reported!H21)</f>
        <v/>
      </c>
      <c r="R108" s="36">
        <f>IF(_reported!R21="","",R107-_reported!R21)</f>
        <v/>
      </c>
      <c r="S108" s="36">
        <f>IF(_reported!S21="","",S107-_reported!S21)</f>
        <v/>
      </c>
      <c r="T108" s="36">
        <f>IF(_reported!T21="","",T107-_reported!T21)</f>
        <v/>
      </c>
    </row>
    <row r="109"/>
    <row r="110">
      <c r="D110" s="12" t="inlineStr">
        <is>
          <t>Long-Term Debt, non-current</t>
        </is>
      </c>
      <c r="G110" s="43" t="n"/>
      <c r="H110" s="33" t="n">
        <v>3930.485</v>
      </c>
      <c r="I110" s="34">
        <f>H110+I180+I181</f>
        <v/>
      </c>
      <c r="J110" s="34">
        <f>I110+J180+J181</f>
        <v/>
      </c>
      <c r="K110" s="34">
        <f>J110+K180+K181</f>
        <v/>
      </c>
      <c r="L110" s="34">
        <f>K110+L180+L181</f>
        <v/>
      </c>
      <c r="M110" s="34">
        <f>L110+M180+M181</f>
        <v/>
      </c>
      <c r="N110" s="34">
        <f>M110+N180+N181</f>
        <v/>
      </c>
      <c r="O110" s="34">
        <f>N110+O180+O181</f>
        <v/>
      </c>
      <c r="P110" s="34">
        <f>O110+P180+P181</f>
        <v/>
      </c>
      <c r="R110" s="33" t="n">
        <v>301.444</v>
      </c>
      <c r="S110" s="33" t="n">
        <v>755.84</v>
      </c>
      <c r="T110" s="33" t="n">
        <v>2255.622</v>
      </c>
      <c r="U110" s="34">
        <f>K110</f>
        <v/>
      </c>
      <c r="V110" s="34">
        <f>O110</f>
        <v/>
      </c>
      <c r="W110" s="34">
        <f>V110+W180+W181</f>
        <v/>
      </c>
      <c r="X110" s="34">
        <f>W110+X180+X181</f>
        <v/>
      </c>
      <c r="Y110" s="34">
        <f>X110+Y180+Y181</f>
        <v/>
      </c>
    </row>
    <row r="111">
      <c r="D111" s="12" t="inlineStr">
        <is>
          <t>Deferred Tax Liabilities</t>
        </is>
      </c>
      <c r="G111" s="43" t="n"/>
      <c r="H111" s="37" t="n">
        <v>348.716</v>
      </c>
      <c r="I111" s="38">
        <f>H111</f>
        <v/>
      </c>
      <c r="J111" s="38">
        <f>I111</f>
        <v/>
      </c>
      <c r="K111" s="38">
        <f>J111</f>
        <v/>
      </c>
      <c r="L111" s="38">
        <f>K111</f>
        <v/>
      </c>
      <c r="M111" s="38">
        <f>L111</f>
        <v/>
      </c>
      <c r="N111" s="38">
        <f>M111</f>
        <v/>
      </c>
      <c r="O111" s="38">
        <f>N111</f>
        <v/>
      </c>
      <c r="P111" s="38">
        <f>O111</f>
        <v/>
      </c>
      <c r="R111" s="37" t="n">
        <v>15.512</v>
      </c>
      <c r="S111" s="37" t="n">
        <v>62.398</v>
      </c>
      <c r="T111" s="37" t="n">
        <v>349.073</v>
      </c>
      <c r="U111" s="38">
        <f>K111</f>
        <v/>
      </c>
      <c r="V111" s="38">
        <f>O111</f>
        <v/>
      </c>
      <c r="W111" s="38">
        <f>V111</f>
        <v/>
      </c>
      <c r="X111" s="38">
        <f>W111</f>
        <v/>
      </c>
      <c r="Y111" s="38">
        <f>X111</f>
        <v/>
      </c>
    </row>
    <row r="112">
      <c r="D112" s="12" t="inlineStr">
        <is>
          <t>Deferred Revenue, non-current</t>
        </is>
      </c>
      <c r="G112" s="43" t="n"/>
      <c r="H112" s="37" t="n">
        <v>0.299</v>
      </c>
      <c r="I112" s="38">
        <f>H112</f>
        <v/>
      </c>
      <c r="J112" s="38">
        <f>I112</f>
        <v/>
      </c>
      <c r="K112" s="38">
        <f>J112</f>
        <v/>
      </c>
      <c r="L112" s="38">
        <f>K112</f>
        <v/>
      </c>
      <c r="M112" s="38">
        <f>L112</f>
        <v/>
      </c>
      <c r="N112" s="38">
        <f>M112</f>
        <v/>
      </c>
      <c r="O112" s="38">
        <f>N112</f>
        <v/>
      </c>
      <c r="P112" s="38">
        <f>O112</f>
        <v/>
      </c>
      <c r="R112" s="37" t="n">
        <v>0</v>
      </c>
      <c r="S112" s="37" t="n">
        <v>0</v>
      </c>
      <c r="T112" s="37" t="n">
        <v>0.214</v>
      </c>
      <c r="U112" s="38">
        <f>K112</f>
        <v/>
      </c>
      <c r="V112" s="38">
        <f>O112</f>
        <v/>
      </c>
      <c r="W112" s="38">
        <f>V112</f>
        <v/>
      </c>
      <c r="X112" s="38">
        <f>W112</f>
        <v/>
      </c>
      <c r="Y112" s="38">
        <f>X112</f>
        <v/>
      </c>
    </row>
    <row r="113">
      <c r="D113" s="12" t="inlineStr">
        <is>
          <t>Other Non-Current Liabilities</t>
        </is>
      </c>
      <c r="G113" s="43" t="n"/>
      <c r="H113" s="37" t="n">
        <v>64.089</v>
      </c>
      <c r="I113" s="38">
        <f>H113</f>
        <v/>
      </c>
      <c r="J113" s="38">
        <f>I113</f>
        <v/>
      </c>
      <c r="K113" s="38">
        <f>J113</f>
        <v/>
      </c>
      <c r="L113" s="38">
        <f>K113</f>
        <v/>
      </c>
      <c r="M113" s="38">
        <f>L113</f>
        <v/>
      </c>
      <c r="N113" s="38">
        <f>M113</f>
        <v/>
      </c>
      <c r="O113" s="38">
        <f>N113</f>
        <v/>
      </c>
      <c r="P113" s="38">
        <f>O113</f>
        <v/>
      </c>
      <c r="R113" s="37" t="n">
        <v>12.762</v>
      </c>
      <c r="S113" s="37" t="n">
        <v>15.745</v>
      </c>
      <c r="T113" s="37" t="n">
        <v>39.193</v>
      </c>
      <c r="U113" s="38">
        <f>K113</f>
        <v/>
      </c>
      <c r="V113" s="38">
        <f>O113</f>
        <v/>
      </c>
      <c r="W113" s="38">
        <f>V113</f>
        <v/>
      </c>
      <c r="X113" s="38">
        <f>W113</f>
        <v/>
      </c>
      <c r="Y113" s="38">
        <f>X113</f>
        <v/>
      </c>
    </row>
    <row r="114">
      <c r="A114" s="9" t="inlineStr">
        <is>
          <t>x</t>
        </is>
      </c>
      <c r="B114" s="10" t="inlineStr">
        <is>
          <t>Total Liabilities</t>
        </is>
      </c>
      <c r="H114" s="35">
        <f>H107+H110+H111+H112+H113</f>
        <v/>
      </c>
      <c r="I114" s="35">
        <f>I107+I110+I111+I112+I113</f>
        <v/>
      </c>
      <c r="J114" s="35">
        <f>J107+J110+J111+J112+J113</f>
        <v/>
      </c>
      <c r="K114" s="35">
        <f>K107+K110+K111+K112+K113</f>
        <v/>
      </c>
      <c r="L114" s="35">
        <f>L107+L110+L111+L112+L113</f>
        <v/>
      </c>
      <c r="M114" s="35">
        <f>M107+M110+M111+M112+M113</f>
        <v/>
      </c>
      <c r="N114" s="35">
        <f>N107+N110+N111+N112+N113</f>
        <v/>
      </c>
      <c r="O114" s="35">
        <f>O107+O110+O111+O112+O113</f>
        <v/>
      </c>
      <c r="P114" s="35">
        <f>P107+P110+P111+P112+P113</f>
        <v/>
      </c>
      <c r="R114" s="35">
        <f>R107+R110+R111+R112+R113</f>
        <v/>
      </c>
      <c r="S114" s="35">
        <f>S107+S110+S111+S112+S113</f>
        <v/>
      </c>
      <c r="T114" s="35">
        <f>T107+T110+T111+T112+T113</f>
        <v/>
      </c>
      <c r="U114" s="35">
        <f>K114</f>
        <v/>
      </c>
      <c r="V114" s="35">
        <f>O114</f>
        <v/>
      </c>
      <c r="W114" s="35">
        <f>W107+W110+W111+W112+W113</f>
        <v/>
      </c>
      <c r="X114" s="35">
        <f>X107+X110+X111+X112+X113</f>
        <v/>
      </c>
      <c r="Y114" s="35">
        <f>Y107+Y110+Y111+Y112+Y113</f>
        <v/>
      </c>
    </row>
    <row r="115">
      <c r="D115" s="8" t="inlineStr">
        <is>
          <t>Reconciliation: variance vs. as-reported</t>
        </is>
      </c>
      <c r="H115" s="36">
        <f>IF(_reported!H22="","",H114-_reported!H22)</f>
        <v/>
      </c>
      <c r="R115" s="36">
        <f>IF(_reported!R22="","",R114-_reported!R22)</f>
        <v/>
      </c>
      <c r="S115" s="36">
        <f>IF(_reported!S22="","",S114-_reported!S22)</f>
        <v/>
      </c>
      <c r="T115" s="36">
        <f>IF(_reported!T22="","",T114-_reported!T22)</f>
        <v/>
      </c>
    </row>
    <row r="116"/>
    <row r="117">
      <c r="D117" s="12" t="inlineStr">
        <is>
          <t>Additional Paid-In Capital</t>
        </is>
      </c>
      <c r="G117" s="43" t="n"/>
      <c r="H117" s="33" t="n">
        <v>703.048</v>
      </c>
      <c r="I117" s="34">
        <f>H117+I155+I184</f>
        <v/>
      </c>
      <c r="J117" s="34">
        <f>I117+J155+J184</f>
        <v/>
      </c>
      <c r="K117" s="34">
        <f>J117+K155+K184</f>
        <v/>
      </c>
      <c r="L117" s="34">
        <f>K117+L155+L184</f>
        <v/>
      </c>
      <c r="M117" s="34">
        <f>L117+M155+M184</f>
        <v/>
      </c>
      <c r="N117" s="34">
        <f>M117+N155+N184</f>
        <v/>
      </c>
      <c r="O117" s="34">
        <f>N117+O155+O184</f>
        <v/>
      </c>
      <c r="P117" s="34">
        <f>O117+P155+P184</f>
        <v/>
      </c>
      <c r="R117" s="33" t="n">
        <v>115.197</v>
      </c>
      <c r="S117" s="33" t="n">
        <v>334.737</v>
      </c>
      <c r="T117" s="33" t="n">
        <v>662.753</v>
      </c>
      <c r="U117" s="34">
        <f>K117</f>
        <v/>
      </c>
      <c r="V117" s="34">
        <f>O117</f>
        <v/>
      </c>
      <c r="W117" s="34">
        <f>V117+W155+W184</f>
        <v/>
      </c>
      <c r="X117" s="34">
        <f>W117+X155+X184</f>
        <v/>
      </c>
      <c r="Y117" s="34">
        <f>X117+Y155+Y184</f>
        <v/>
      </c>
    </row>
    <row r="118">
      <c r="D118" s="12" t="inlineStr">
        <is>
          <t>Other Equity (common stock + AOCI + retained earnings + treasury + NCI)</t>
        </is>
      </c>
      <c r="G118" s="43" t="n"/>
      <c r="H118" s="37" t="n">
        <v>359.643</v>
      </c>
      <c r="I118" s="38">
        <f>H118+I38</f>
        <v/>
      </c>
      <c r="J118" s="38">
        <f>I118+J38</f>
        <v/>
      </c>
      <c r="K118" s="38">
        <f>J118+K38</f>
        <v/>
      </c>
      <c r="L118" s="38">
        <f>K118+L38</f>
        <v/>
      </c>
      <c r="M118" s="38">
        <f>L118+M38</f>
        <v/>
      </c>
      <c r="N118" s="38">
        <f>M118+N38</f>
        <v/>
      </c>
      <c r="O118" s="38">
        <f>N118+O38</f>
        <v/>
      </c>
      <c r="P118" s="38">
        <f>O118+P38</f>
        <v/>
      </c>
      <c r="R118" s="37" t="n">
        <v>222.022</v>
      </c>
      <c r="S118" s="37" t="n">
        <v>302.01</v>
      </c>
      <c r="T118" s="37" t="n">
        <v>332.109</v>
      </c>
      <c r="U118" s="38">
        <f>K118</f>
        <v/>
      </c>
      <c r="V118" s="38">
        <f>O118</f>
        <v/>
      </c>
      <c r="W118" s="38">
        <f>V118+W38</f>
        <v/>
      </c>
      <c r="X118" s="38">
        <f>W118+X38</f>
        <v/>
      </c>
      <c r="Y118" s="38">
        <f>X118+Y38</f>
        <v/>
      </c>
    </row>
    <row r="119">
      <c r="A119" s="9" t="inlineStr">
        <is>
          <t>x</t>
        </is>
      </c>
      <c r="C119" s="10" t="inlineStr">
        <is>
          <t>Total Shareholders' Equity</t>
        </is>
      </c>
      <c r="H119" s="35">
        <f>SUM(H117:H118)</f>
        <v/>
      </c>
      <c r="I119" s="35">
        <f>SUM(I117:I118)</f>
        <v/>
      </c>
      <c r="J119" s="35">
        <f>SUM(J117:J118)</f>
        <v/>
      </c>
      <c r="K119" s="35">
        <f>SUM(K117:K118)</f>
        <v/>
      </c>
      <c r="L119" s="35">
        <f>SUM(L117:L118)</f>
        <v/>
      </c>
      <c r="M119" s="35">
        <f>SUM(M117:M118)</f>
        <v/>
      </c>
      <c r="N119" s="35">
        <f>SUM(N117:N118)</f>
        <v/>
      </c>
      <c r="O119" s="35">
        <f>SUM(O117:O118)</f>
        <v/>
      </c>
      <c r="P119" s="35">
        <f>SUM(P117:P118)</f>
        <v/>
      </c>
      <c r="R119" s="35">
        <f>SUM(R117:R118)</f>
        <v/>
      </c>
      <c r="S119" s="35">
        <f>SUM(S117:S118)</f>
        <v/>
      </c>
      <c r="T119" s="35">
        <f>SUM(T117:T118)</f>
        <v/>
      </c>
      <c r="U119" s="35">
        <f>K119</f>
        <v/>
      </c>
      <c r="V119" s="35">
        <f>O119</f>
        <v/>
      </c>
      <c r="W119" s="35">
        <f>SUM(W117:W118)</f>
        <v/>
      </c>
      <c r="X119" s="35">
        <f>SUM(X117:X118)</f>
        <v/>
      </c>
      <c r="Y119" s="35">
        <f>SUM(Y117:Y118)</f>
        <v/>
      </c>
    </row>
    <row r="120">
      <c r="D120" s="8" t="inlineStr">
        <is>
          <t>Reconciliation: variance vs. as-reported</t>
        </is>
      </c>
      <c r="H120" s="36">
        <f>IF(_reported!H23="","",H119-_reported!H23)</f>
        <v/>
      </c>
      <c r="R120" s="36">
        <f>IF(_reported!R23="","",R119-_reported!R23)</f>
        <v/>
      </c>
      <c r="S120" s="36">
        <f>IF(_reported!S23="","",S119-_reported!S23)</f>
        <v/>
      </c>
      <c r="T120" s="36">
        <f>IF(_reported!T23="","",T119-_reported!T23)</f>
        <v/>
      </c>
    </row>
    <row r="121"/>
    <row r="122">
      <c r="A122" s="9" t="inlineStr">
        <is>
          <t>x</t>
        </is>
      </c>
      <c r="B122" s="10" t="inlineStr">
        <is>
          <t>Total Liabilities &amp; Equity</t>
        </is>
      </c>
      <c r="H122" s="35">
        <f>H114+H119</f>
        <v/>
      </c>
      <c r="I122" s="35">
        <f>I114+I119</f>
        <v/>
      </c>
      <c r="J122" s="35">
        <f>J114+J119</f>
        <v/>
      </c>
      <c r="K122" s="35">
        <f>K114+K119</f>
        <v/>
      </c>
      <c r="L122" s="35">
        <f>L114+L119</f>
        <v/>
      </c>
      <c r="M122" s="35">
        <f>M114+M119</f>
        <v/>
      </c>
      <c r="N122" s="35">
        <f>N114+N119</f>
        <v/>
      </c>
      <c r="O122" s="35">
        <f>O114+O119</f>
        <v/>
      </c>
      <c r="P122" s="35">
        <f>P114+P119</f>
        <v/>
      </c>
      <c r="R122" s="35">
        <f>R114+R119</f>
        <v/>
      </c>
      <c r="S122" s="35">
        <f>S114+S119</f>
        <v/>
      </c>
      <c r="T122" s="35">
        <f>T114+T119</f>
        <v/>
      </c>
      <c r="U122" s="35">
        <f>K122</f>
        <v/>
      </c>
      <c r="V122" s="35">
        <f>O122</f>
        <v/>
      </c>
      <c r="W122" s="35">
        <f>W114+W119</f>
        <v/>
      </c>
      <c r="X122" s="35">
        <f>X114+X119</f>
        <v/>
      </c>
      <c r="Y122" s="35">
        <f>Y114+Y119</f>
        <v/>
      </c>
    </row>
    <row r="123">
      <c r="D123" s="8" t="inlineStr">
        <is>
          <t>Reconciliation: variance vs. as-reported</t>
        </is>
      </c>
      <c r="H123" s="36">
        <f>IF(_reported!H24="","",H122-_reported!H24)</f>
        <v/>
      </c>
      <c r="R123" s="36">
        <f>IF(_reported!R24="","",R122-_reported!R24)</f>
        <v/>
      </c>
      <c r="S123" s="36">
        <f>IF(_reported!S24="","",S122-_reported!S24)</f>
        <v/>
      </c>
      <c r="T123" s="36">
        <f>IF(_reported!T24="","",T122-_reported!T24)</f>
        <v/>
      </c>
    </row>
    <row r="124">
      <c r="A124" s="9" t="inlineStr">
        <is>
          <t>x</t>
        </is>
      </c>
      <c r="B124" s="23" t="inlineStr">
        <is>
          <t>★ PARITY (TA - TL&amp;E; must = 0)</t>
        </is>
      </c>
      <c r="H124" s="44">
        <f>H99-H122</f>
        <v/>
      </c>
      <c r="I124" s="44">
        <f>I99-I122</f>
        <v/>
      </c>
      <c r="J124" s="44">
        <f>J99-J122</f>
        <v/>
      </c>
      <c r="K124" s="44">
        <f>K99-K122</f>
        <v/>
      </c>
      <c r="L124" s="44">
        <f>L99-L122</f>
        <v/>
      </c>
      <c r="M124" s="44">
        <f>M99-M122</f>
        <v/>
      </c>
      <c r="N124" s="44">
        <f>N99-N122</f>
        <v/>
      </c>
      <c r="O124" s="44">
        <f>O99-O122</f>
        <v/>
      </c>
      <c r="P124" s="44">
        <f>P99-P122</f>
        <v/>
      </c>
      <c r="R124" s="44">
        <f>R99-R122</f>
        <v/>
      </c>
      <c r="S124" s="44">
        <f>S99-S122</f>
        <v/>
      </c>
      <c r="T124" s="44">
        <f>T99-T122</f>
        <v/>
      </c>
      <c r="U124" s="44">
        <f>K124</f>
        <v/>
      </c>
      <c r="V124" s="44">
        <f>O124</f>
        <v/>
      </c>
      <c r="W124" s="44">
        <f>W99-W122</f>
        <v/>
      </c>
      <c r="X124" s="44">
        <f>X99-X122</f>
        <v/>
      </c>
      <c r="Y124" s="44">
        <f>Y99-Y122</f>
        <v/>
      </c>
    </row>
    <row r="125"/>
    <row r="126"/>
    <row r="127">
      <c r="B127" s="21" t="inlineStr">
        <is>
          <t>Balance Sheet Ratios &amp; Assumptions</t>
        </is>
      </c>
      <c r="C127" s="21" t="n"/>
      <c r="D127" s="21" t="n"/>
      <c r="E127" s="21" t="n"/>
      <c r="F127" s="21" t="n"/>
      <c r="G127" s="21" t="n"/>
      <c r="H127" s="21" t="n"/>
      <c r="I127" s="21" t="n"/>
      <c r="J127" s="21" t="n"/>
      <c r="K127" s="21" t="n"/>
      <c r="L127" s="21" t="n"/>
      <c r="M127" s="21" t="n"/>
      <c r="N127" s="21" t="n"/>
      <c r="O127" s="21" t="n"/>
      <c r="P127" s="21" t="n"/>
      <c r="R127" s="21" t="n"/>
      <c r="S127" s="21" t="n"/>
      <c r="T127" s="21" t="n"/>
      <c r="U127" s="21" t="n"/>
      <c r="V127" s="21" t="n"/>
      <c r="W127" s="21" t="n"/>
      <c r="X127" s="21" t="n"/>
      <c r="Y127" s="21" t="n"/>
    </row>
    <row r="128"/>
    <row r="129">
      <c r="D129" s="12" t="inlineStr">
        <is>
          <t>Current Ratio (TCA / TCL)</t>
        </is>
      </c>
      <c r="H129" s="45">
        <f>IFERROR(H90/H107,"")</f>
        <v/>
      </c>
      <c r="I129" s="45">
        <f>IFERROR(I90/I107,"")</f>
        <v/>
      </c>
      <c r="J129" s="45">
        <f>IFERROR(J90/J107,"")</f>
        <v/>
      </c>
      <c r="K129" s="45">
        <f>IFERROR(K90/K107,"")</f>
        <v/>
      </c>
      <c r="L129" s="45">
        <f>IFERROR(L90/L107,"")</f>
        <v/>
      </c>
      <c r="M129" s="45">
        <f>IFERROR(M90/M107,"")</f>
        <v/>
      </c>
      <c r="N129" s="45">
        <f>IFERROR(N90/N107,"")</f>
        <v/>
      </c>
      <c r="O129" s="45">
        <f>IFERROR(O90/O107,"")</f>
        <v/>
      </c>
      <c r="P129" s="45">
        <f>IFERROR(P90/P107,"")</f>
        <v/>
      </c>
      <c r="R129" s="45">
        <f>IFERROR(R90/R107,"")</f>
        <v/>
      </c>
      <c r="S129" s="45">
        <f>IFERROR(S90/S107,"")</f>
        <v/>
      </c>
      <c r="T129" s="45">
        <f>IFERROR(T90/T107,"")</f>
        <v/>
      </c>
      <c r="U129" s="45">
        <f>IFERROR(U90/U107,"")</f>
        <v/>
      </c>
      <c r="V129" s="45">
        <f>IFERROR(V90/V107,"")</f>
        <v/>
      </c>
      <c r="W129" s="45">
        <f>IFERROR(W90/W107,"")</f>
        <v/>
      </c>
      <c r="X129" s="45">
        <f>IFERROR(X90/X107,"")</f>
        <v/>
      </c>
      <c r="Y129" s="45">
        <f>IFERROR(Y90/Y107,"")</f>
        <v/>
      </c>
    </row>
    <row r="130">
      <c r="D130" s="12" t="inlineStr">
        <is>
          <t>Net Working Capital (TCA - TCL)</t>
        </is>
      </c>
      <c r="H130" s="34">
        <f>IFERROR(H90-H107,"")</f>
        <v/>
      </c>
      <c r="I130" s="34">
        <f>IFERROR(I90-I107,"")</f>
        <v/>
      </c>
      <c r="J130" s="34">
        <f>IFERROR(J90-J107,"")</f>
        <v/>
      </c>
      <c r="K130" s="34">
        <f>IFERROR(K90-K107,"")</f>
        <v/>
      </c>
      <c r="L130" s="34">
        <f>IFERROR(L90-L107,"")</f>
        <v/>
      </c>
      <c r="M130" s="34">
        <f>IFERROR(M90-M107,"")</f>
        <v/>
      </c>
      <c r="N130" s="34">
        <f>IFERROR(N90-N107,"")</f>
        <v/>
      </c>
      <c r="O130" s="34">
        <f>IFERROR(O90-O107,"")</f>
        <v/>
      </c>
      <c r="P130" s="34">
        <f>IFERROR(P90-P107,"")</f>
        <v/>
      </c>
      <c r="R130" s="34">
        <f>IFERROR(R90-R107,"")</f>
        <v/>
      </c>
      <c r="S130" s="34">
        <f>IFERROR(S90-S107,"")</f>
        <v/>
      </c>
      <c r="T130" s="34">
        <f>IFERROR(T90-T107,"")</f>
        <v/>
      </c>
      <c r="U130" s="34">
        <f>IFERROR(U90-U107,"")</f>
        <v/>
      </c>
      <c r="V130" s="34">
        <f>IFERROR(V90-V107,"")</f>
        <v/>
      </c>
      <c r="W130" s="34">
        <f>IFERROR(W90-W107,"")</f>
        <v/>
      </c>
      <c r="X130" s="34">
        <f>IFERROR(X90-X107,"")</f>
        <v/>
      </c>
      <c r="Y130" s="34">
        <f>IFERROR(Y90-Y107,"")</f>
        <v/>
      </c>
    </row>
    <row r="131">
      <c r="D131" s="12" t="inlineStr">
        <is>
          <t>Goodwill + Intangibles (% of Total Assets)</t>
        </is>
      </c>
      <c r="H131" s="40">
        <f>IFERROR((H93+H94)/H99,"")</f>
        <v/>
      </c>
      <c r="I131" s="40">
        <f>IFERROR((I93+I94)/I99,"")</f>
        <v/>
      </c>
      <c r="J131" s="40">
        <f>IFERROR((J93+J94)/J99,"")</f>
        <v/>
      </c>
      <c r="K131" s="40">
        <f>IFERROR((K93+K94)/K99,"")</f>
        <v/>
      </c>
      <c r="L131" s="40">
        <f>IFERROR((L93+L94)/L99,"")</f>
        <v/>
      </c>
      <c r="M131" s="40">
        <f>IFERROR((M93+M94)/M99,"")</f>
        <v/>
      </c>
      <c r="N131" s="40">
        <f>IFERROR((N93+N94)/N99,"")</f>
        <v/>
      </c>
      <c r="O131" s="40">
        <f>IFERROR((O93+O94)/O99,"")</f>
        <v/>
      </c>
      <c r="P131" s="40">
        <f>IFERROR((P93+P94)/P99,"")</f>
        <v/>
      </c>
      <c r="R131" s="40">
        <f>IFERROR((R93+R94)/R99,"")</f>
        <v/>
      </c>
      <c r="S131" s="40">
        <f>IFERROR((S93+S94)/S99,"")</f>
        <v/>
      </c>
      <c r="T131" s="40">
        <f>IFERROR((T93+T94)/T99,"")</f>
        <v/>
      </c>
      <c r="U131" s="40">
        <f>IFERROR((U93+U94)/U99,"")</f>
        <v/>
      </c>
      <c r="V131" s="40">
        <f>IFERROR((V93+V94)/V99,"")</f>
        <v/>
      </c>
      <c r="W131" s="40">
        <f>IFERROR((W93+W94)/W99,"")</f>
        <v/>
      </c>
      <c r="X131" s="40">
        <f>IFERROR((X93+X94)/X99,"")</f>
        <v/>
      </c>
      <c r="Y131" s="40">
        <f>IFERROR((Y93+Y94)/Y99,"")</f>
        <v/>
      </c>
    </row>
    <row r="132">
      <c r="D132" s="12" t="inlineStr">
        <is>
          <t>AR (% of Revenue) [DRIVER]</t>
        </is>
      </c>
      <c r="H132" s="40">
        <f>IFERROR(H85/H10,"")</f>
        <v/>
      </c>
      <c r="I132" s="40">
        <f>IFERROR(I85/I10,"")</f>
        <v/>
      </c>
      <c r="J132" s="40">
        <f>IFERROR(J85/J10,"")</f>
        <v/>
      </c>
      <c r="K132" s="40">
        <f>IFERROR(K85/K10,"")</f>
        <v/>
      </c>
      <c r="L132" s="40">
        <f>IFERROR(L85/L10,"")</f>
        <v/>
      </c>
      <c r="M132" s="40">
        <f>IFERROR(M85/M10,"")</f>
        <v/>
      </c>
      <c r="N132" s="40">
        <f>IFERROR(N85/N10,"")</f>
        <v/>
      </c>
      <c r="O132" s="40">
        <f>IFERROR(O85/O10,"")</f>
        <v/>
      </c>
      <c r="P132" s="40">
        <f>IFERROR(P85/P10,"")</f>
        <v/>
      </c>
      <c r="R132" s="40">
        <f>IFERROR(R85/R10,"")</f>
        <v/>
      </c>
      <c r="S132" s="40">
        <f>IFERROR(S85/S10,"")</f>
        <v/>
      </c>
      <c r="T132" s="40">
        <f>IFERROR(T85/T10,"")</f>
        <v/>
      </c>
      <c r="U132" s="40">
        <f>IFERROR(U85/U10,"")</f>
        <v/>
      </c>
      <c r="V132" s="40">
        <f>IFERROR(V85/V10,"")</f>
        <v/>
      </c>
      <c r="W132" s="40">
        <f>IFERROR(W85/W10,"")</f>
        <v/>
      </c>
      <c r="X132" s="40">
        <f>IFERROR(X85/X10,"")</f>
        <v/>
      </c>
      <c r="Y132" s="40">
        <f>IFERROR(Y85/Y10,"")</f>
        <v/>
      </c>
    </row>
    <row r="133">
      <c r="D133" s="12" t="inlineStr">
        <is>
          <t>Deferred Revenue (% of Revenue) [DRIVER]</t>
        </is>
      </c>
      <c r="H133" s="40">
        <f>IFERROR(H104/H10,"")</f>
        <v/>
      </c>
      <c r="I133" s="40">
        <f>IFERROR(I104/I10,"")</f>
        <v/>
      </c>
      <c r="J133" s="40">
        <f>IFERROR(J104/J10,"")</f>
        <v/>
      </c>
      <c r="K133" s="40">
        <f>IFERROR(K104/K10,"")</f>
        <v/>
      </c>
      <c r="L133" s="40">
        <f>IFERROR(L104/L10,"")</f>
        <v/>
      </c>
      <c r="M133" s="40">
        <f>IFERROR(M104/M10,"")</f>
        <v/>
      </c>
      <c r="N133" s="40">
        <f>IFERROR(N104/N10,"")</f>
        <v/>
      </c>
      <c r="O133" s="40">
        <f>IFERROR(O104/O10,"")</f>
        <v/>
      </c>
      <c r="P133" s="40">
        <f>IFERROR(P104/P10,"")</f>
        <v/>
      </c>
      <c r="R133" s="40">
        <f>IFERROR(R104/R10,"")</f>
        <v/>
      </c>
      <c r="S133" s="40">
        <f>IFERROR(S104/S10,"")</f>
        <v/>
      </c>
      <c r="T133" s="40">
        <f>IFERROR(T104/T10,"")</f>
        <v/>
      </c>
      <c r="U133" s="40">
        <f>IFERROR(U104/U10,"")</f>
        <v/>
      </c>
      <c r="V133" s="40">
        <f>IFERROR(V104/V10,"")</f>
        <v/>
      </c>
      <c r="W133" s="40">
        <f>IFERROR(W104/W10,"")</f>
        <v/>
      </c>
      <c r="X133" s="40">
        <f>IFERROR(X104/X10,"")</f>
        <v/>
      </c>
      <c r="Y133" s="40">
        <f>IFERROR(Y104/Y10,"")</f>
        <v/>
      </c>
    </row>
    <row r="134">
      <c r="D134" s="10" t="inlineStr">
        <is>
          <t>Net Debt (Total Debt - Cash) ($M)</t>
        </is>
      </c>
      <c r="H134" s="46">
        <f>IFERROR(H103+H110-H84,"")</f>
        <v/>
      </c>
      <c r="I134" s="46">
        <f>IFERROR(I103+I110-I84,"")</f>
        <v/>
      </c>
      <c r="J134" s="46">
        <f>IFERROR(J103+J110-J84,"")</f>
        <v/>
      </c>
      <c r="K134" s="46">
        <f>IFERROR(K103+K110-K84,"")</f>
        <v/>
      </c>
      <c r="L134" s="46">
        <f>IFERROR(L103+L110-L84,"")</f>
        <v/>
      </c>
      <c r="M134" s="46">
        <f>IFERROR(M103+M110-M84,"")</f>
        <v/>
      </c>
      <c r="N134" s="46">
        <f>IFERROR(N103+N110-N84,"")</f>
        <v/>
      </c>
      <c r="O134" s="46">
        <f>IFERROR(O103+O110-O84,"")</f>
        <v/>
      </c>
      <c r="P134" s="46">
        <f>IFERROR(P103+P110-P84,"")</f>
        <v/>
      </c>
      <c r="R134" s="46">
        <f>IFERROR(R103+R110-R84,"")</f>
        <v/>
      </c>
      <c r="S134" s="46">
        <f>IFERROR(S103+S110-S84,"")</f>
        <v/>
      </c>
      <c r="T134" s="46">
        <f>IFERROR(T103+T110-T84,"")</f>
        <v/>
      </c>
      <c r="U134" s="46">
        <f>IFERROR(U103+U110-U84,"")</f>
        <v/>
      </c>
      <c r="V134" s="46">
        <f>IFERROR(V103+V110-V84,"")</f>
        <v/>
      </c>
      <c r="W134" s="46">
        <f>IFERROR(W103+W110-W84,"")</f>
        <v/>
      </c>
      <c r="X134" s="46">
        <f>IFERROR(X103+X110-X84,"")</f>
        <v/>
      </c>
      <c r="Y134" s="46">
        <f>IFERROR(Y103+Y110-Y84,"")</f>
        <v/>
      </c>
    </row>
    <row r="135">
      <c r="D135" s="12" t="inlineStr">
        <is>
          <t>Total Debt (current + non-current) ($M)</t>
        </is>
      </c>
      <c r="H135" s="34">
        <f>IFERROR(H103+H110,"")</f>
        <v/>
      </c>
      <c r="I135" s="34">
        <f>IFERROR(I103+I110,"")</f>
        <v/>
      </c>
      <c r="J135" s="34">
        <f>IFERROR(J103+J110,"")</f>
        <v/>
      </c>
      <c r="K135" s="34">
        <f>IFERROR(K103+K110,"")</f>
        <v/>
      </c>
      <c r="L135" s="34">
        <f>IFERROR(L103+L110,"")</f>
        <v/>
      </c>
      <c r="M135" s="34">
        <f>IFERROR(M103+M110,"")</f>
        <v/>
      </c>
      <c r="N135" s="34">
        <f>IFERROR(N103+N110,"")</f>
        <v/>
      </c>
      <c r="O135" s="34">
        <f>IFERROR(O103+O110,"")</f>
        <v/>
      </c>
      <c r="P135" s="34">
        <f>IFERROR(P103+P110,"")</f>
        <v/>
      </c>
      <c r="R135" s="34">
        <f>IFERROR(R103+R110,"")</f>
        <v/>
      </c>
      <c r="S135" s="34">
        <f>IFERROR(S103+S110,"")</f>
        <v/>
      </c>
      <c r="T135" s="34">
        <f>IFERROR(T103+T110,"")</f>
        <v/>
      </c>
      <c r="U135" s="34">
        <f>IFERROR(U103+U110,"")</f>
        <v/>
      </c>
      <c r="V135" s="34">
        <f>IFERROR(V103+V110,"")</f>
        <v/>
      </c>
      <c r="W135" s="34">
        <f>IFERROR(W103+W110,"")</f>
        <v/>
      </c>
      <c r="X135" s="34">
        <f>IFERROR(X103+X110,"")</f>
        <v/>
      </c>
      <c r="Y135" s="34">
        <f>IFERROR(Y103+Y110,"")</f>
        <v/>
      </c>
    </row>
    <row r="136"/>
    <row r="137"/>
    <row r="138"/>
    <row r="139">
      <c r="B139" s="21" t="inlineStr">
        <is>
          <t>BS Forecast Driver Ratios</t>
        </is>
      </c>
      <c r="C139" s="21" t="n"/>
      <c r="D139" s="21" t="n"/>
      <c r="E139" s="21" t="n"/>
      <c r="F139" s="21" t="n"/>
      <c r="G139" s="21" t="n"/>
      <c r="H139" s="21" t="n"/>
      <c r="I139" s="21" t="n"/>
      <c r="J139" s="21" t="n"/>
      <c r="K139" s="21" t="n"/>
      <c r="L139" s="21" t="n"/>
      <c r="M139" s="21" t="n"/>
      <c r="N139" s="21" t="n"/>
      <c r="O139" s="21" t="n"/>
      <c r="P139" s="21" t="n"/>
      <c r="R139" s="21" t="n"/>
      <c r="S139" s="21" t="n"/>
      <c r="T139" s="21" t="n"/>
      <c r="U139" s="21" t="n"/>
      <c r="V139" s="21" t="n"/>
      <c r="W139" s="21" t="n"/>
      <c r="X139" s="21" t="n"/>
      <c r="Y139" s="21" t="n"/>
    </row>
    <row r="140"/>
    <row r="141">
      <c r="C141" s="12" t="inlineStr">
        <is>
          <t>AR (% of period rev) [drives AR]</t>
        </is>
      </c>
      <c r="H141" s="40">
        <f>IFERROR(H85/H10,"")</f>
        <v/>
      </c>
      <c r="I141" s="41" t="n">
        <v>0.42</v>
      </c>
      <c r="J141" s="41" t="n">
        <v>0.42</v>
      </c>
      <c r="K141" s="41" t="n">
        <v>0.42</v>
      </c>
      <c r="L141" s="41" t="n">
        <v>0.42</v>
      </c>
      <c r="M141" s="41" t="n">
        <v>0.42</v>
      </c>
      <c r="N141" s="41" t="n">
        <v>0.42</v>
      </c>
      <c r="O141" s="41" t="n">
        <v>0.42</v>
      </c>
      <c r="P141" s="41" t="n">
        <v>0.42</v>
      </c>
      <c r="R141" s="40">
        <f>IFERROR(R85/R10,"")</f>
        <v/>
      </c>
      <c r="S141" s="40">
        <f>IFERROR(S85/S10,"")</f>
        <v/>
      </c>
      <c r="T141" s="40">
        <f>IFERROR(T85/T10,"")</f>
        <v/>
      </c>
      <c r="U141" s="41" t="n">
        <v>0.105</v>
      </c>
      <c r="V141" s="41" t="n">
        <v>0.105</v>
      </c>
      <c r="W141" s="41" t="n">
        <v>0.105</v>
      </c>
      <c r="X141" s="41" t="n">
        <v>0.105</v>
      </c>
      <c r="Y141" s="41" t="n">
        <v>0.105</v>
      </c>
    </row>
    <row r="142">
      <c r="C142" s="12" t="inlineStr">
        <is>
          <t>Prepaid (% of period rev) [drives Prepaid]</t>
        </is>
      </c>
      <c r="H142" s="40">
        <f>IFERROR(H88/H10,"")</f>
        <v/>
      </c>
      <c r="I142" s="41" t="n">
        <v>0.08500000000000001</v>
      </c>
      <c r="J142" s="41" t="n">
        <v>0.08500000000000001</v>
      </c>
      <c r="K142" s="41" t="n">
        <v>0.08500000000000001</v>
      </c>
      <c r="L142" s="41" t="n">
        <v>0.08500000000000001</v>
      </c>
      <c r="M142" s="41" t="n">
        <v>0.08500000000000001</v>
      </c>
      <c r="N142" s="41" t="n">
        <v>0.08500000000000001</v>
      </c>
      <c r="O142" s="41" t="n">
        <v>0.08500000000000001</v>
      </c>
      <c r="P142" s="41" t="n">
        <v>0.08500000000000001</v>
      </c>
      <c r="R142" s="40">
        <f>IFERROR(R88/R10,"")</f>
        <v/>
      </c>
      <c r="S142" s="40">
        <f>IFERROR(S88/S10,"")</f>
        <v/>
      </c>
      <c r="T142" s="40">
        <f>IFERROR(T88/T10,"")</f>
        <v/>
      </c>
      <c r="U142" s="41" t="n">
        <v>0.0213</v>
      </c>
      <c r="V142" s="41" t="n">
        <v>0.0213</v>
      </c>
      <c r="W142" s="41" t="n">
        <v>0.0213</v>
      </c>
      <c r="X142" s="41" t="n">
        <v>0.0213</v>
      </c>
      <c r="Y142" s="41" t="n">
        <v>0.0213</v>
      </c>
    </row>
    <row r="143">
      <c r="C143" s="12" t="inlineStr">
        <is>
          <t>Other Current Assets (% of period rev) [drives Other CA]</t>
        </is>
      </c>
      <c r="H143" s="40">
        <f>IFERROR(H89/H10,"")</f>
        <v/>
      </c>
      <c r="I143" s="41" t="n">
        <v>0.25</v>
      </c>
      <c r="J143" s="41" t="n">
        <v>0.25</v>
      </c>
      <c r="K143" s="41" t="n">
        <v>0.25</v>
      </c>
      <c r="L143" s="41" t="n">
        <v>0.25</v>
      </c>
      <c r="M143" s="41" t="n">
        <v>0.25</v>
      </c>
      <c r="N143" s="41" t="n">
        <v>0.25</v>
      </c>
      <c r="O143" s="41" t="n">
        <v>0.25</v>
      </c>
      <c r="P143" s="41" t="n">
        <v>0.25</v>
      </c>
      <c r="R143" s="40">
        <f>IFERROR(R89/R10,"")</f>
        <v/>
      </c>
      <c r="S143" s="40">
        <f>IFERROR(S89/S10,"")</f>
        <v/>
      </c>
      <c r="T143" s="40">
        <f>IFERROR(T89/T10,"")</f>
        <v/>
      </c>
      <c r="U143" s="41" t="n">
        <v>0.0625</v>
      </c>
      <c r="V143" s="41" t="n">
        <v>0.0625</v>
      </c>
      <c r="W143" s="41" t="n">
        <v>0.0625</v>
      </c>
      <c r="X143" s="41" t="n">
        <v>0.0625</v>
      </c>
      <c r="Y143" s="41" t="n">
        <v>0.0625</v>
      </c>
    </row>
    <row r="144">
      <c r="C144" s="12" t="inlineStr">
        <is>
          <t>Costs to Obtain, cur (% of period rev) [drives Costs cur]</t>
        </is>
      </c>
      <c r="H144" s="40">
        <f>IFERROR(H87/H10,"")</f>
        <v/>
      </c>
      <c r="I144" s="41" t="n">
        <v>0.029</v>
      </c>
      <c r="J144" s="41" t="n">
        <v>0.029</v>
      </c>
      <c r="K144" s="41" t="n">
        <v>0.029</v>
      </c>
      <c r="L144" s="41" t="n">
        <v>0.029</v>
      </c>
      <c r="M144" s="41" t="n">
        <v>0.029</v>
      </c>
      <c r="N144" s="41" t="n">
        <v>0.029</v>
      </c>
      <c r="O144" s="41" t="n">
        <v>0.029</v>
      </c>
      <c r="P144" s="41" t="n">
        <v>0.029</v>
      </c>
      <c r="R144" s="40">
        <f>IFERROR(R87/R10,"")</f>
        <v/>
      </c>
      <c r="S144" s="40">
        <f>IFERROR(S87/S10,"")</f>
        <v/>
      </c>
      <c r="T144" s="40">
        <f>IFERROR(T87/T10,"")</f>
        <v/>
      </c>
      <c r="U144" s="41" t="n">
        <v>0.00725</v>
      </c>
      <c r="V144" s="41" t="n">
        <v>0.00725</v>
      </c>
      <c r="W144" s="41" t="n">
        <v>0.00725</v>
      </c>
      <c r="X144" s="41" t="n">
        <v>0.00725</v>
      </c>
      <c r="Y144" s="41" t="n">
        <v>0.00725</v>
      </c>
    </row>
    <row r="145">
      <c r="C145" s="12" t="inlineStr">
        <is>
          <t>Deferred Revenue, cur (% of period rev) [drives DefRev cur]</t>
        </is>
      </c>
      <c r="H145" s="40">
        <f>IFERROR(H104/H10,"")</f>
        <v/>
      </c>
      <c r="I145" s="41" t="n">
        <v>0.78</v>
      </c>
      <c r="J145" s="41" t="n">
        <v>0.78</v>
      </c>
      <c r="K145" s="41" t="n">
        <v>0.78</v>
      </c>
      <c r="L145" s="41" t="n">
        <v>0.78</v>
      </c>
      <c r="M145" s="41" t="n">
        <v>0.78</v>
      </c>
      <c r="N145" s="41" t="n">
        <v>0.78</v>
      </c>
      <c r="O145" s="41" t="n">
        <v>0.78</v>
      </c>
      <c r="P145" s="41" t="n">
        <v>0.78</v>
      </c>
      <c r="R145" s="40">
        <f>IFERROR(R104/R10,"")</f>
        <v/>
      </c>
      <c r="S145" s="40">
        <f>IFERROR(S104/S10,"")</f>
        <v/>
      </c>
      <c r="T145" s="40">
        <f>IFERROR(T104/T10,"")</f>
        <v/>
      </c>
      <c r="U145" s="41" t="n">
        <v>0.195</v>
      </c>
      <c r="V145" s="41" t="n">
        <v>0.195</v>
      </c>
      <c r="W145" s="41" t="n">
        <v>0.195</v>
      </c>
      <c r="X145" s="41" t="n">
        <v>0.195</v>
      </c>
      <c r="Y145" s="41" t="n">
        <v>0.195</v>
      </c>
    </row>
    <row r="146">
      <c r="C146" s="12" t="inlineStr">
        <is>
          <t>Accrued &amp; Other CL (% of period rev) [drives Accrued]</t>
        </is>
      </c>
      <c r="H146" s="40">
        <f>IFERROR(H106/H10,"")</f>
        <v/>
      </c>
      <c r="I146" s="41" t="n">
        <v>0.88</v>
      </c>
      <c r="J146" s="41" t="n">
        <v>0.88</v>
      </c>
      <c r="K146" s="41" t="n">
        <v>0.88</v>
      </c>
      <c r="L146" s="41" t="n">
        <v>0.88</v>
      </c>
      <c r="M146" s="41" t="n">
        <v>0.88</v>
      </c>
      <c r="N146" s="41" t="n">
        <v>0.88</v>
      </c>
      <c r="O146" s="41" t="n">
        <v>0.88</v>
      </c>
      <c r="P146" s="41" t="n">
        <v>0.88</v>
      </c>
      <c r="R146" s="40">
        <f>IFERROR(R106/R10,"")</f>
        <v/>
      </c>
      <c r="S146" s="40">
        <f>IFERROR(S106/S10,"")</f>
        <v/>
      </c>
      <c r="T146" s="40">
        <f>IFERROR(T106/T10,"")</f>
        <v/>
      </c>
      <c r="U146" s="41" t="n">
        <v>0.22</v>
      </c>
      <c r="V146" s="41" t="n">
        <v>0.22</v>
      </c>
      <c r="W146" s="41" t="n">
        <v>0.22</v>
      </c>
      <c r="X146" s="41" t="n">
        <v>0.22</v>
      </c>
      <c r="Y146" s="41" t="n">
        <v>0.22</v>
      </c>
    </row>
    <row r="147">
      <c r="C147" s="12" t="inlineStr">
        <is>
          <t>Accounts Payable (% of period rev) [drives AP]</t>
        </is>
      </c>
      <c r="H147" s="40">
        <f>IFERROR(H102/H10,"")</f>
        <v/>
      </c>
      <c r="I147" s="41" t="n">
        <v>0.05</v>
      </c>
      <c r="J147" s="41" t="n">
        <v>0.05</v>
      </c>
      <c r="K147" s="41" t="n">
        <v>0.05</v>
      </c>
      <c r="L147" s="41" t="n">
        <v>0.05</v>
      </c>
      <c r="M147" s="41" t="n">
        <v>0.05</v>
      </c>
      <c r="N147" s="41" t="n">
        <v>0.05</v>
      </c>
      <c r="O147" s="41" t="n">
        <v>0.05</v>
      </c>
      <c r="P147" s="41" t="n">
        <v>0.05</v>
      </c>
      <c r="R147" s="40">
        <f>IFERROR(R102/R10,"")</f>
        <v/>
      </c>
      <c r="S147" s="40">
        <f>IFERROR(S102/S10,"")</f>
        <v/>
      </c>
      <c r="T147" s="40">
        <f>IFERROR(T102/T10,"")</f>
        <v/>
      </c>
      <c r="U147" s="41" t="n">
        <v>0.0125</v>
      </c>
      <c r="V147" s="41" t="n">
        <v>0.0125</v>
      </c>
      <c r="W147" s="41" t="n">
        <v>0.0125</v>
      </c>
      <c r="X147" s="41" t="n">
        <v>0.0125</v>
      </c>
      <c r="Y147" s="41" t="n">
        <v>0.0125</v>
      </c>
    </row>
    <row r="148">
      <c r="C148" s="12" t="inlineStr">
        <is>
          <t>Intangibles Amort (% of prior Net Intangibles) [drives D&amp;A + Intang roll]</t>
        </is>
      </c>
      <c r="G148" s="40">
        <f>IFERROR(G157/G94,"")</f>
        <v/>
      </c>
      <c r="H148" s="40">
        <f>IFERROR(H157/H94,"")</f>
        <v/>
      </c>
      <c r="I148" s="41" t="n">
        <v>0.037</v>
      </c>
      <c r="J148" s="41" t="n">
        <v>0.037</v>
      </c>
      <c r="K148" s="41" t="n">
        <v>0.037</v>
      </c>
      <c r="L148" s="41" t="n">
        <v>0.036</v>
      </c>
      <c r="M148" s="41" t="n">
        <v>0.036</v>
      </c>
      <c r="N148" s="41" t="n">
        <v>0.035</v>
      </c>
      <c r="O148" s="41" t="n">
        <v>0.035</v>
      </c>
      <c r="P148" s="41" t="n">
        <v>0.034</v>
      </c>
      <c r="R148" s="40">
        <f>IFERROR(R157/R94,"")</f>
        <v/>
      </c>
      <c r="S148" s="40">
        <f>IFERROR(S157/S94,"")</f>
        <v/>
      </c>
      <c r="T148" s="40">
        <f>IFERROR(T157/T94,"")</f>
        <v/>
      </c>
      <c r="U148" s="41" t="n">
        <v>0.14</v>
      </c>
      <c r="V148" s="41" t="n">
        <v>0.135</v>
      </c>
      <c r="W148" s="41" t="n">
        <v>0.135</v>
      </c>
      <c r="X148" s="41" t="n">
        <v>0.13</v>
      </c>
      <c r="Y148" s="41" t="n">
        <v>0.125</v>
      </c>
    </row>
    <row r="149">
      <c r="C149" s="12" t="inlineStr">
        <is>
          <t>Equity Comp / SBC (% of period rev) [drives CF SBC + APIC roll]</t>
        </is>
      </c>
      <c r="G149" s="40">
        <f>IFERROR(G155/G10,"")</f>
        <v/>
      </c>
      <c r="H149" s="40">
        <f>IFERROR(H155/H10,"")</f>
        <v/>
      </c>
      <c r="I149" s="41" t="n">
        <v>0.05</v>
      </c>
      <c r="J149" s="41" t="n">
        <v>0.05</v>
      </c>
      <c r="K149" s="41" t="n">
        <v>0.05</v>
      </c>
      <c r="L149" s="41" t="n">
        <v>0.05</v>
      </c>
      <c r="M149" s="41" t="n">
        <v>0.05</v>
      </c>
      <c r="N149" s="41" t="n">
        <v>0.05</v>
      </c>
      <c r="O149" s="41" t="n">
        <v>0.05</v>
      </c>
      <c r="P149" s="41" t="n">
        <v>0.05</v>
      </c>
      <c r="R149" s="40">
        <f>IFERROR(R155/R10,"")</f>
        <v/>
      </c>
      <c r="S149" s="40">
        <f>IFERROR(S155/S10,"")</f>
        <v/>
      </c>
      <c r="T149" s="40">
        <f>IFERROR(T155/T10,"")</f>
        <v/>
      </c>
      <c r="U149" s="41" t="n">
        <v>0.05</v>
      </c>
      <c r="V149" s="41" t="n">
        <v>0.048</v>
      </c>
      <c r="W149" s="41" t="n">
        <v>0.045</v>
      </c>
      <c r="X149" s="41" t="n">
        <v>0.045</v>
      </c>
      <c r="Y149" s="41" t="n">
        <v>0.045</v>
      </c>
    </row>
    <row r="150"/>
    <row r="151"/>
    <row r="152">
      <c r="B152" s="27" t="inlineStr">
        <is>
          <t>Cash Flow Statement</t>
        </is>
      </c>
      <c r="C152" s="27" t="n"/>
      <c r="D152" s="27" t="n"/>
      <c r="E152" s="27" t="n"/>
      <c r="F152" s="27" t="n"/>
      <c r="G152" s="27" t="n"/>
      <c r="H152" s="27" t="n"/>
      <c r="I152" s="27" t="n"/>
      <c r="J152" s="27" t="n"/>
      <c r="K152" s="27" t="n"/>
      <c r="L152" s="27" t="n"/>
      <c r="M152" s="27" t="n"/>
      <c r="N152" s="27" t="n"/>
      <c r="O152" s="27" t="n"/>
      <c r="P152" s="27" t="n"/>
      <c r="R152" s="27" t="n"/>
      <c r="S152" s="27" t="n"/>
      <c r="T152" s="27" t="n"/>
      <c r="U152" s="27" t="n"/>
      <c r="V152" s="27" t="n"/>
      <c r="W152" s="27" t="n"/>
      <c r="X152" s="27" t="n"/>
      <c r="Y152" s="27" t="n"/>
    </row>
    <row r="153">
      <c r="C153" s="8" t="inlineStr">
        <is>
          <t>Source: F-1/A. FY23/24/25 audited; Q1'25/Q1'26 interim (Q1'26 as restated, note 16). Indirect method, IFRS. Inflows positive / outflows negative.</t>
        </is>
      </c>
    </row>
    <row r="154">
      <c r="D154" s="12" t="inlineStr">
        <is>
          <t>Net Income (Loss) [link to IS]</t>
        </is>
      </c>
      <c r="G154" s="47">
        <f>G34</f>
        <v/>
      </c>
      <c r="H154" s="47">
        <f>H34</f>
        <v/>
      </c>
      <c r="I154" s="47">
        <f>I34</f>
        <v/>
      </c>
      <c r="J154" s="47">
        <f>J34</f>
        <v/>
      </c>
      <c r="K154" s="47">
        <f>K34</f>
        <v/>
      </c>
      <c r="L154" s="47">
        <f>L34</f>
        <v/>
      </c>
      <c r="M154" s="47">
        <f>M34</f>
        <v/>
      </c>
      <c r="N154" s="47">
        <f>N34</f>
        <v/>
      </c>
      <c r="O154" s="47">
        <f>O34</f>
        <v/>
      </c>
      <c r="P154" s="47">
        <f>P34</f>
        <v/>
      </c>
      <c r="R154" s="47">
        <f>R34</f>
        <v/>
      </c>
      <c r="S154" s="47">
        <f>S34</f>
        <v/>
      </c>
      <c r="T154" s="47">
        <f>T34</f>
        <v/>
      </c>
      <c r="U154" s="34">
        <f>H154+I154+J154+K154</f>
        <v/>
      </c>
      <c r="V154" s="34">
        <f>L154+M154+N154+O154</f>
        <v/>
      </c>
      <c r="W154" s="47">
        <f>W34</f>
        <v/>
      </c>
      <c r="X154" s="47">
        <f>X34</f>
        <v/>
      </c>
      <c r="Y154" s="47">
        <f>Y34</f>
        <v/>
      </c>
    </row>
    <row r="155">
      <c r="D155" s="12" t="inlineStr">
        <is>
          <t>Equity Compensation Expense</t>
        </is>
      </c>
      <c r="G155" s="37" t="n">
        <v>16.489</v>
      </c>
      <c r="H155" s="37" t="n">
        <v>28.678</v>
      </c>
      <c r="I155" s="38">
        <f>I149*I10</f>
        <v/>
      </c>
      <c r="J155" s="38">
        <f>J149*J10</f>
        <v/>
      </c>
      <c r="K155" s="38">
        <f>K149*K10</f>
        <v/>
      </c>
      <c r="L155" s="38">
        <f>L149*L10</f>
        <v/>
      </c>
      <c r="M155" s="38">
        <f>M149*M10</f>
        <v/>
      </c>
      <c r="N155" s="38">
        <f>N149*N10</f>
        <v/>
      </c>
      <c r="O155" s="38">
        <f>O149*O10</f>
        <v/>
      </c>
      <c r="P155" s="38">
        <f>P149*P10</f>
        <v/>
      </c>
      <c r="R155" s="37" t="n">
        <v>14.9</v>
      </c>
      <c r="S155" s="37" t="n">
        <v>25.855</v>
      </c>
      <c r="T155" s="37" t="n">
        <v>55.523</v>
      </c>
      <c r="U155" s="38">
        <f>H155+I155+J155+K155</f>
        <v/>
      </c>
      <c r="V155" s="38">
        <f>L155+M155+N155+O155</f>
        <v/>
      </c>
      <c r="W155" s="38">
        <f>W149*W10</f>
        <v/>
      </c>
      <c r="X155" s="38">
        <f>X149*X10</f>
        <v/>
      </c>
      <c r="Y155" s="38">
        <f>Y149*Y10</f>
        <v/>
      </c>
    </row>
    <row r="156">
      <c r="D156" s="12" t="inlineStr">
        <is>
          <t>Impairment &amp; Depreciation of PP&amp;E</t>
        </is>
      </c>
      <c r="G156" s="37" t="n">
        <v>1.031</v>
      </c>
      <c r="H156" s="37" t="n">
        <v>0.9399999999999999</v>
      </c>
      <c r="I156" s="37" t="n">
        <v>1.2</v>
      </c>
      <c r="J156" s="37" t="n">
        <v>1.3</v>
      </c>
      <c r="K156" s="37" t="n">
        <v>1.4</v>
      </c>
      <c r="L156" s="37" t="n">
        <v>1.4</v>
      </c>
      <c r="M156" s="37" t="n">
        <v>1.5</v>
      </c>
      <c r="N156" s="37" t="n">
        <v>1.5</v>
      </c>
      <c r="O156" s="37" t="n">
        <v>1.6</v>
      </c>
      <c r="P156" s="37" t="n">
        <v>1.6</v>
      </c>
      <c r="R156" s="37" t="n">
        <v>1.089</v>
      </c>
      <c r="S156" s="37" t="n">
        <v>3.248</v>
      </c>
      <c r="T156" s="37" t="n">
        <v>6.508</v>
      </c>
      <c r="U156" s="38">
        <f>H156+I156+J156+K156</f>
        <v/>
      </c>
      <c r="V156" s="38">
        <f>L156+M156+N156+O156</f>
        <v/>
      </c>
      <c r="W156" s="37" t="n">
        <v>7</v>
      </c>
      <c r="X156" s="37" t="n">
        <v>8</v>
      </c>
      <c r="Y156" s="37" t="n">
        <v>9</v>
      </c>
    </row>
    <row r="157">
      <c r="D157" s="12" t="inlineStr">
        <is>
          <t>Impairment &amp; Amortization of Intangibles</t>
        </is>
      </c>
      <c r="G157" s="37" t="n">
        <v>29.719</v>
      </c>
      <c r="H157" s="37" t="n">
        <v>69.16200000000001</v>
      </c>
      <c r="I157" s="38">
        <f>I148*H94</f>
        <v/>
      </c>
      <c r="J157" s="38">
        <f>J148*I94</f>
        <v/>
      </c>
      <c r="K157" s="38">
        <f>K148*J94</f>
        <v/>
      </c>
      <c r="L157" s="38">
        <f>L148*K94</f>
        <v/>
      </c>
      <c r="M157" s="38">
        <f>M148*L94</f>
        <v/>
      </c>
      <c r="N157" s="38">
        <f>N148*M94</f>
        <v/>
      </c>
      <c r="O157" s="38">
        <f>O148*N94</f>
        <v/>
      </c>
      <c r="P157" s="38">
        <f>P148*O94</f>
        <v/>
      </c>
      <c r="R157" s="37" t="n">
        <v>33.809</v>
      </c>
      <c r="S157" s="37" t="n">
        <v>85.947</v>
      </c>
      <c r="T157" s="37" t="n">
        <v>150.532</v>
      </c>
      <c r="U157" s="38">
        <f>H157+I157+J157+K157</f>
        <v/>
      </c>
      <c r="V157" s="38">
        <f>L157+M157+N157+O157</f>
        <v/>
      </c>
      <c r="W157" s="38">
        <f>W148*V94</f>
        <v/>
      </c>
      <c r="X157" s="38">
        <f>X148*W94</f>
        <v/>
      </c>
      <c r="Y157" s="38">
        <f>Y148*X94</f>
        <v/>
      </c>
    </row>
    <row r="158">
      <c r="D158" s="12" t="inlineStr">
        <is>
          <t>Gain (Loss) on Disposal</t>
        </is>
      </c>
      <c r="G158" s="37" t="n">
        <v>0</v>
      </c>
      <c r="H158" s="37" t="n">
        <v>0</v>
      </c>
      <c r="I158" s="37" t="n">
        <v>0</v>
      </c>
      <c r="J158" s="37" t="n">
        <v>0</v>
      </c>
      <c r="K158" s="37" t="n">
        <v>0</v>
      </c>
      <c r="L158" s="37" t="n">
        <v>0</v>
      </c>
      <c r="M158" s="37" t="n">
        <v>0</v>
      </c>
      <c r="N158" s="37" t="n">
        <v>0</v>
      </c>
      <c r="O158" s="37" t="n">
        <v>0</v>
      </c>
      <c r="P158" s="37" t="n">
        <v>0</v>
      </c>
      <c r="R158" s="37" t="n">
        <v>0</v>
      </c>
      <c r="S158" s="37" t="n">
        <v>-0.369</v>
      </c>
      <c r="T158" s="37" t="n">
        <v>0</v>
      </c>
      <c r="U158" s="38">
        <f>H158+I158+J158+K158</f>
        <v/>
      </c>
      <c r="V158" s="38">
        <f>L158+M158+N158+O158</f>
        <v/>
      </c>
      <c r="W158" s="37" t="n">
        <v>0</v>
      </c>
      <c r="X158" s="37" t="n">
        <v>0</v>
      </c>
      <c r="Y158" s="37" t="n">
        <v>0</v>
      </c>
    </row>
    <row r="159">
      <c r="D159" s="12" t="inlineStr">
        <is>
          <t>Deferred Tax</t>
        </is>
      </c>
      <c r="G159" s="37" t="n">
        <v>52.248</v>
      </c>
      <c r="H159" s="37" t="n">
        <v>12.825</v>
      </c>
      <c r="I159" s="37" t="n">
        <v>0</v>
      </c>
      <c r="J159" s="37" t="n">
        <v>0</v>
      </c>
      <c r="K159" s="37" t="n">
        <v>0</v>
      </c>
      <c r="L159" s="37" t="n">
        <v>0</v>
      </c>
      <c r="M159" s="37" t="n">
        <v>0</v>
      </c>
      <c r="N159" s="37" t="n">
        <v>0</v>
      </c>
      <c r="O159" s="37" t="n">
        <v>0</v>
      </c>
      <c r="P159" s="37" t="n">
        <v>0</v>
      </c>
      <c r="R159" s="37" t="n">
        <v>-195.458</v>
      </c>
      <c r="S159" s="37" t="n">
        <v>-1.372</v>
      </c>
      <c r="T159" s="37" t="n">
        <v>76.407</v>
      </c>
      <c r="U159" s="38">
        <f>H159+I159+J159+K159</f>
        <v/>
      </c>
      <c r="V159" s="38">
        <f>L159+M159+N159+O159</f>
        <v/>
      </c>
      <c r="W159" s="37" t="n">
        <v>0</v>
      </c>
      <c r="X159" s="37" t="n">
        <v>0</v>
      </c>
      <c r="Y159" s="37" t="n">
        <v>0</v>
      </c>
    </row>
    <row r="160">
      <c r="D160" s="12" t="inlineStr">
        <is>
          <t>Change in FV of Interest Rate Swaps</t>
        </is>
      </c>
      <c r="G160" s="37" t="n">
        <v>0.666</v>
      </c>
      <c r="H160" s="37" t="n">
        <v>-14.654</v>
      </c>
      <c r="I160" s="37" t="n">
        <v>0</v>
      </c>
      <c r="J160" s="37" t="n">
        <v>0</v>
      </c>
      <c r="K160" s="37" t="n">
        <v>0</v>
      </c>
      <c r="L160" s="37" t="n">
        <v>0</v>
      </c>
      <c r="M160" s="37" t="n">
        <v>0</v>
      </c>
      <c r="N160" s="37" t="n">
        <v>0</v>
      </c>
      <c r="O160" s="37" t="n">
        <v>0</v>
      </c>
      <c r="P160" s="37" t="n">
        <v>0</v>
      </c>
      <c r="R160" s="37" t="n">
        <v>6.847</v>
      </c>
      <c r="S160" s="37" t="n">
        <v>9.590999999999999</v>
      </c>
      <c r="T160" s="37" t="n">
        <v>1.604</v>
      </c>
      <c r="U160" s="38">
        <f>H160+I160+J160+K160</f>
        <v/>
      </c>
      <c r="V160" s="38">
        <f>L160+M160+N160+O160</f>
        <v/>
      </c>
      <c r="W160" s="37" t="n">
        <v>0</v>
      </c>
      <c r="X160" s="37" t="n">
        <v>0</v>
      </c>
      <c r="Y160" s="37" t="n">
        <v>0</v>
      </c>
    </row>
    <row r="161">
      <c r="D161" s="12" t="inlineStr">
        <is>
          <t>Provisions</t>
        </is>
      </c>
      <c r="G161" s="37" t="n">
        <v>0.344</v>
      </c>
      <c r="H161" s="37" t="n">
        <v>0.333</v>
      </c>
      <c r="I161" s="37" t="n">
        <v>0</v>
      </c>
      <c r="J161" s="37" t="n">
        <v>0</v>
      </c>
      <c r="K161" s="37" t="n">
        <v>0</v>
      </c>
      <c r="L161" s="37" t="n">
        <v>0</v>
      </c>
      <c r="M161" s="37" t="n">
        <v>0</v>
      </c>
      <c r="N161" s="37" t="n">
        <v>0</v>
      </c>
      <c r="O161" s="37" t="n">
        <v>0</v>
      </c>
      <c r="P161" s="37" t="n">
        <v>0</v>
      </c>
      <c r="R161" s="37" t="n">
        <v>2.182</v>
      </c>
      <c r="S161" s="37" t="n">
        <v>-0.512</v>
      </c>
      <c r="T161" s="37" t="n">
        <v>6.615</v>
      </c>
      <c r="U161" s="38">
        <f>H161+I161+J161+K161</f>
        <v/>
      </c>
      <c r="V161" s="38">
        <f>L161+M161+N161+O161</f>
        <v/>
      </c>
      <c r="W161" s="37" t="n">
        <v>0</v>
      </c>
      <c r="X161" s="37" t="n">
        <v>0</v>
      </c>
      <c r="Y161" s="37" t="n">
        <v>0</v>
      </c>
    </row>
    <row r="162">
      <c r="D162" s="12" t="inlineStr">
        <is>
          <t>Non-Cash Interest Expense</t>
        </is>
      </c>
      <c r="G162" s="37" t="n">
        <v>1.941</v>
      </c>
      <c r="H162" s="37" t="n">
        <v>7.249</v>
      </c>
      <c r="I162" s="37" t="n">
        <v>0</v>
      </c>
      <c r="J162" s="37" t="n">
        <v>0</v>
      </c>
      <c r="K162" s="37" t="n">
        <v>0</v>
      </c>
      <c r="L162" s="37" t="n">
        <v>0</v>
      </c>
      <c r="M162" s="37" t="n">
        <v>0</v>
      </c>
      <c r="N162" s="37" t="n">
        <v>0</v>
      </c>
      <c r="O162" s="37" t="n">
        <v>0</v>
      </c>
      <c r="P162" s="37" t="n">
        <v>0</v>
      </c>
      <c r="R162" s="37" t="n">
        <v>3.933</v>
      </c>
      <c r="S162" s="37" t="n">
        <v>25.483</v>
      </c>
      <c r="T162" s="37" t="n">
        <v>12.106</v>
      </c>
      <c r="U162" s="38">
        <f>H162+I162+J162+K162</f>
        <v/>
      </c>
      <c r="V162" s="38">
        <f>L162+M162+N162+O162</f>
        <v/>
      </c>
      <c r="W162" s="37" t="n">
        <v>0</v>
      </c>
      <c r="X162" s="37" t="n">
        <v>0</v>
      </c>
      <c r="Y162" s="37" t="n">
        <v>0</v>
      </c>
    </row>
    <row r="163">
      <c r="D163" s="12" t="inlineStr">
        <is>
          <t>Other Non-Cash</t>
        </is>
      </c>
      <c r="G163" s="37" t="n">
        <v>-0.578</v>
      </c>
      <c r="H163" s="37" t="n">
        <v>-36.747</v>
      </c>
      <c r="I163" s="37" t="n">
        <v>0</v>
      </c>
      <c r="J163" s="37" t="n">
        <v>0</v>
      </c>
      <c r="K163" s="37" t="n">
        <v>0</v>
      </c>
      <c r="L163" s="37" t="n">
        <v>0</v>
      </c>
      <c r="M163" s="37" t="n">
        <v>0</v>
      </c>
      <c r="N163" s="37" t="n">
        <v>0</v>
      </c>
      <c r="O163" s="37" t="n">
        <v>0</v>
      </c>
      <c r="P163" s="37" t="n">
        <v>0</v>
      </c>
      <c r="R163" s="37" t="n">
        <v>0</v>
      </c>
      <c r="S163" s="37" t="n">
        <v>0</v>
      </c>
      <c r="T163" s="37" t="n">
        <v>14.599</v>
      </c>
      <c r="U163" s="38">
        <f>H163+I163+J163+K163</f>
        <v/>
      </c>
      <c r="V163" s="38">
        <f>L163+M163+N163+O163</f>
        <v/>
      </c>
      <c r="W163" s="37" t="n">
        <v>0</v>
      </c>
      <c r="X163" s="37" t="n">
        <v>0</v>
      </c>
      <c r="Y163" s="37" t="n">
        <v>0</v>
      </c>
    </row>
    <row r="164">
      <c r="D164" s="12" t="inlineStr">
        <is>
          <t>Δ Accounts Receivable</t>
        </is>
      </c>
      <c r="G164" s="37" t="n">
        <v>0.235</v>
      </c>
      <c r="H164" s="37" t="n">
        <v>-58.335</v>
      </c>
      <c r="I164" s="38">
        <f>-(I85-H85)</f>
        <v/>
      </c>
      <c r="J164" s="38">
        <f>-(J85-I85)</f>
        <v/>
      </c>
      <c r="K164" s="38">
        <f>-(K85-J85)</f>
        <v/>
      </c>
      <c r="L164" s="38">
        <f>-(L85-K85)</f>
        <v/>
      </c>
      <c r="M164" s="38">
        <f>-(M85-L85)</f>
        <v/>
      </c>
      <c r="N164" s="38">
        <f>-(N85-M85)</f>
        <v/>
      </c>
      <c r="O164" s="38">
        <f>-(O85-N85)</f>
        <v/>
      </c>
      <c r="P164" s="38">
        <f>-(P85-O85)</f>
        <v/>
      </c>
      <c r="R164" s="37" t="n">
        <v>-16.862</v>
      </c>
      <c r="S164" s="37" t="n">
        <v>-28.919</v>
      </c>
      <c r="T164" s="37" t="n">
        <v>-1.09</v>
      </c>
      <c r="U164" s="38">
        <f>H164+I164+J164+K164</f>
        <v/>
      </c>
      <c r="V164" s="38">
        <f>L164+M164+N164+O164</f>
        <v/>
      </c>
      <c r="W164" s="38">
        <f>-(W85-V85)</f>
        <v/>
      </c>
      <c r="X164" s="38">
        <f>-(X85-W85)</f>
        <v/>
      </c>
      <c r="Y164" s="38">
        <f>-(Y85-X85)</f>
        <v/>
      </c>
    </row>
    <row r="165">
      <c r="D165" s="12" t="inlineStr">
        <is>
          <t>Δ Accounts Payable</t>
        </is>
      </c>
      <c r="G165" s="37" t="n">
        <v>-5.153</v>
      </c>
      <c r="H165" s="37" t="n">
        <v>5.842</v>
      </c>
      <c r="I165" s="38">
        <f>I102-H102</f>
        <v/>
      </c>
      <c r="J165" s="38">
        <f>J102-I102</f>
        <v/>
      </c>
      <c r="K165" s="38">
        <f>K102-J102</f>
        <v/>
      </c>
      <c r="L165" s="38">
        <f>L102-K102</f>
        <v/>
      </c>
      <c r="M165" s="38">
        <f>M102-L102</f>
        <v/>
      </c>
      <c r="N165" s="38">
        <f>N102-M102</f>
        <v/>
      </c>
      <c r="O165" s="38">
        <f>O102-N102</f>
        <v/>
      </c>
      <c r="P165" s="38">
        <f>P102-O102</f>
        <v/>
      </c>
      <c r="R165" s="37" t="n">
        <v>-22.718</v>
      </c>
      <c r="S165" s="37" t="n">
        <v>3.159</v>
      </c>
      <c r="T165" s="37" t="n">
        <v>-24.841</v>
      </c>
      <c r="U165" s="38">
        <f>H165+I165+J165+K165</f>
        <v/>
      </c>
      <c r="V165" s="38">
        <f>L165+M165+N165+O165</f>
        <v/>
      </c>
      <c r="W165" s="38">
        <f>W102-V102</f>
        <v/>
      </c>
      <c r="X165" s="38">
        <f>X102-W102</f>
        <v/>
      </c>
      <c r="Y165" s="38">
        <f>Y102-X102</f>
        <v/>
      </c>
    </row>
    <row r="166">
      <c r="D166" s="12" t="inlineStr">
        <is>
          <t>Δ Accrued &amp; Other Liabilities</t>
        </is>
      </c>
      <c r="G166" s="37" t="n">
        <v>25.758</v>
      </c>
      <c r="H166" s="37" t="n">
        <v>-1.753</v>
      </c>
      <c r="I166" s="38">
        <f>I106-H106</f>
        <v/>
      </c>
      <c r="J166" s="38">
        <f>J106-I106</f>
        <v/>
      </c>
      <c r="K166" s="38">
        <f>K106-J106</f>
        <v/>
      </c>
      <c r="L166" s="38">
        <f>L106-K106</f>
        <v/>
      </c>
      <c r="M166" s="38">
        <f>M106-L106</f>
        <v/>
      </c>
      <c r="N166" s="38">
        <f>N106-M106</f>
        <v/>
      </c>
      <c r="O166" s="38">
        <f>O106-N106</f>
        <v/>
      </c>
      <c r="P166" s="38">
        <f>P106-O106</f>
        <v/>
      </c>
      <c r="R166" s="37" t="n">
        <v>-21.857</v>
      </c>
      <c r="S166" s="37" t="n">
        <v>11.159</v>
      </c>
      <c r="T166" s="37" t="n">
        <v>4.247</v>
      </c>
      <c r="U166" s="38">
        <f>H166+I166+J166+K166</f>
        <v/>
      </c>
      <c r="V166" s="38">
        <f>L166+M166+N166+O166</f>
        <v/>
      </c>
      <c r="W166" s="38">
        <f>W106-V106</f>
        <v/>
      </c>
      <c r="X166" s="38">
        <f>X106-W106</f>
        <v/>
      </c>
      <c r="Y166" s="38">
        <f>Y106-X106</f>
        <v/>
      </c>
    </row>
    <row r="167">
      <c r="D167" s="12" t="inlineStr">
        <is>
          <t>Δ Income Tax Assets/Liabilities</t>
        </is>
      </c>
      <c r="G167" s="37" t="n">
        <v>30.438</v>
      </c>
      <c r="H167" s="37" t="n">
        <v>41.99</v>
      </c>
      <c r="I167" s="38">
        <f>(I105-H105)-(I86-H86)</f>
        <v/>
      </c>
      <c r="J167" s="38">
        <f>(J105-I105)-(J86-I86)</f>
        <v/>
      </c>
      <c r="K167" s="38">
        <f>(K105-J105)-(K86-J86)</f>
        <v/>
      </c>
      <c r="L167" s="38">
        <f>(L105-K105)-(L86-K86)</f>
        <v/>
      </c>
      <c r="M167" s="38">
        <f>(M105-L105)-(M86-L86)</f>
        <v/>
      </c>
      <c r="N167" s="38">
        <f>(N105-M105)-(N86-M86)</f>
        <v/>
      </c>
      <c r="O167" s="38">
        <f>(O105-N105)-(O86-N86)</f>
        <v/>
      </c>
      <c r="P167" s="38">
        <f>(P105-O105)-(P86-O86)</f>
        <v/>
      </c>
      <c r="R167" s="37" t="n">
        <v>83.23699999999999</v>
      </c>
      <c r="S167" s="37" t="n">
        <v>-28.121</v>
      </c>
      <c r="T167" s="37" t="n">
        <v>-9.003</v>
      </c>
      <c r="U167" s="38">
        <f>H167+I167+J167+K167</f>
        <v/>
      </c>
      <c r="V167" s="38">
        <f>L167+M167+N167+O167</f>
        <v/>
      </c>
      <c r="W167" s="38">
        <f>(W105-V105)-(W86-V86)</f>
        <v/>
      </c>
      <c r="X167" s="38">
        <f>(X105-W105)-(X86-W86)</f>
        <v/>
      </c>
      <c r="Y167" s="38">
        <f>(Y105-X105)-(Y86-X86)</f>
        <v/>
      </c>
    </row>
    <row r="168">
      <c r="D168" s="12" t="inlineStr">
        <is>
          <t>Δ Deferred Revenue</t>
        </is>
      </c>
      <c r="G168" s="37" t="n">
        <v>16.032</v>
      </c>
      <c r="H168" s="37" t="n">
        <v>14.392</v>
      </c>
      <c r="I168" s="38">
        <f>(I104-H104)+(I112-H112)</f>
        <v/>
      </c>
      <c r="J168" s="38">
        <f>(J104-I104)+(J112-I112)</f>
        <v/>
      </c>
      <c r="K168" s="38">
        <f>(K104-J104)+(K112-J112)</f>
        <v/>
      </c>
      <c r="L168" s="38">
        <f>(L104-K104)+(L112-K112)</f>
        <v/>
      </c>
      <c r="M168" s="38">
        <f>(M104-L104)+(M112-L112)</f>
        <v/>
      </c>
      <c r="N168" s="38">
        <f>(N104-M104)+(N112-M112)</f>
        <v/>
      </c>
      <c r="O168" s="38">
        <f>(O104-N104)+(O112-N112)</f>
        <v/>
      </c>
      <c r="P168" s="38">
        <f>(P104-O104)+(P112-O112)</f>
        <v/>
      </c>
      <c r="R168" s="37" t="n">
        <v>10.168</v>
      </c>
      <c r="S168" s="37" t="n">
        <v>38.579</v>
      </c>
      <c r="T168" s="37" t="n">
        <v>19.345</v>
      </c>
      <c r="U168" s="38">
        <f>H168+I168+J168+K168</f>
        <v/>
      </c>
      <c r="V168" s="38">
        <f>L168+M168+N168+O168</f>
        <v/>
      </c>
      <c r="W168" s="38">
        <f>(W104-V104)+(W112-V112)</f>
        <v/>
      </c>
      <c r="X168" s="38">
        <f>(X104-W104)+(X112-W112)</f>
        <v/>
      </c>
      <c r="Y168" s="38">
        <f>(Y104-X104)+(Y112-X112)</f>
        <v/>
      </c>
    </row>
    <row r="169">
      <c r="D169" s="12" t="inlineStr">
        <is>
          <t>Δ Other Assets</t>
        </is>
      </c>
      <c r="G169" s="37" t="n">
        <v>-35.614</v>
      </c>
      <c r="H169" s="37" t="n">
        <v>-21.731</v>
      </c>
      <c r="I169" s="38">
        <f>-(I88-H88)-(I89-H89)-(I87-H87)-(I97-H97)-(I96-H96)+(I111-H111)-(I98-H98)+(I113-H113)</f>
        <v/>
      </c>
      <c r="J169" s="38">
        <f>-(J88-I88)-(J89-I89)-(J87-I87)-(J97-I97)-(J96-I96)+(J111-I111)-(J98-I98)+(J113-I113)</f>
        <v/>
      </c>
      <c r="K169" s="38">
        <f>-(K88-J88)-(K89-J89)-(K87-J87)-(K97-J97)-(K96-J96)+(K111-J111)-(K98-J98)+(K113-J113)</f>
        <v/>
      </c>
      <c r="L169" s="38">
        <f>-(L88-K88)-(L89-K89)-(L87-K87)-(L97-K97)-(L96-K96)+(L111-K111)-(L98-K98)+(L113-K113)</f>
        <v/>
      </c>
      <c r="M169" s="38">
        <f>-(M88-L88)-(M89-L89)-(M87-L87)-(M97-L97)-(M96-L96)+(M111-L111)-(M98-L98)+(M113-L113)</f>
        <v/>
      </c>
      <c r="N169" s="38">
        <f>-(N88-M88)-(N89-M89)-(N87-M87)-(N97-M97)-(N96-M96)+(N111-M111)-(N98-M98)+(N113-M113)</f>
        <v/>
      </c>
      <c r="O169" s="38">
        <f>-(O88-N88)-(O89-N89)-(O87-N87)-(O97-N97)-(O96-N96)+(O111-N111)-(O98-N98)+(O113-N113)</f>
        <v/>
      </c>
      <c r="P169" s="38">
        <f>-(P88-O88)-(P89-O89)-(P87-O87)-(P97-O97)-(P96-O96)+(P111-O111)-(P98-O98)+(P113-O113)</f>
        <v/>
      </c>
      <c r="R169" s="37" t="n">
        <v>-0.758</v>
      </c>
      <c r="S169" s="37" t="n">
        <v>-27.83</v>
      </c>
      <c r="T169" s="37" t="n">
        <v>-21.748</v>
      </c>
      <c r="U169" s="38">
        <f>H169+I169+J169+K169</f>
        <v/>
      </c>
      <c r="V169" s="38">
        <f>L169+M169+N169+O169</f>
        <v/>
      </c>
      <c r="W169" s="38">
        <f>-(W88-V88)-(W89-V89)-(W87-V87)-(W97-V97)-(W96-V96)+(W111-V111)-(W98-V98)+(W113-V113)</f>
        <v/>
      </c>
      <c r="X169" s="38">
        <f>-(X88-W88)-(X89-W89)-(X87-W87)-(X97-W97)-(X96-W96)+(X111-W111)-(X98-W98)+(X113-W113)</f>
        <v/>
      </c>
      <c r="Y169" s="38">
        <f>-(Y88-X88)-(Y89-X89)-(Y87-X87)-(Y97-X97)-(Y96-X96)+(Y111-X111)-(Y98-X98)+(Y113-X113)</f>
        <v/>
      </c>
    </row>
    <row r="170">
      <c r="A170" s="9" t="inlineStr">
        <is>
          <t>x</t>
        </is>
      </c>
      <c r="B170" s="10" t="inlineStr">
        <is>
          <t>Cash Flow from Operating Activities</t>
        </is>
      </c>
      <c r="G170" s="35">
        <f>SUM(G154:G169)</f>
        <v/>
      </c>
      <c r="H170" s="35">
        <f>SUM(H154:H169)</f>
        <v/>
      </c>
      <c r="I170" s="35">
        <f>SUM(I154:I169)</f>
        <v/>
      </c>
      <c r="J170" s="35">
        <f>SUM(J154:J169)</f>
        <v/>
      </c>
      <c r="K170" s="35">
        <f>SUM(K154:K169)</f>
        <v/>
      </c>
      <c r="L170" s="35">
        <f>SUM(L154:L169)</f>
        <v/>
      </c>
      <c r="M170" s="35">
        <f>SUM(M154:M169)</f>
        <v/>
      </c>
      <c r="N170" s="35">
        <f>SUM(N154:N169)</f>
        <v/>
      </c>
      <c r="O170" s="35">
        <f>SUM(O154:O169)</f>
        <v/>
      </c>
      <c r="P170" s="35">
        <f>SUM(P154:P169)</f>
        <v/>
      </c>
      <c r="R170" s="35">
        <f>SUM(R154:R169)</f>
        <v/>
      </c>
      <c r="S170" s="35">
        <f>SUM(S154:S169)</f>
        <v/>
      </c>
      <c r="T170" s="35">
        <f>SUM(T154:T169)</f>
        <v/>
      </c>
      <c r="U170" s="35">
        <f>H170+I170+J170+K170</f>
        <v/>
      </c>
      <c r="V170" s="35">
        <f>L170+M170+N170+O170</f>
        <v/>
      </c>
      <c r="W170" s="35">
        <f>SUM(W154:W169)</f>
        <v/>
      </c>
      <c r="X170" s="35">
        <f>SUM(X154:X169)</f>
        <v/>
      </c>
      <c r="Y170" s="35">
        <f>SUM(Y154:Y169)</f>
        <v/>
      </c>
    </row>
    <row r="171">
      <c r="D171" s="8" t="inlineStr">
        <is>
          <t>Reconciliation: variance vs. as-reported</t>
        </is>
      </c>
      <c r="G171" s="36">
        <f>IF(_reported!G30="","",G170-_reported!G30)</f>
        <v/>
      </c>
      <c r="H171" s="36">
        <f>IF(_reported!H30="","",H170-_reported!H30)</f>
        <v/>
      </c>
      <c r="R171" s="36">
        <f>IF(_reported!R30="","",R170-_reported!R30)</f>
        <v/>
      </c>
      <c r="S171" s="36">
        <f>IF(_reported!S30="","",S170-_reported!S30)</f>
        <v/>
      </c>
      <c r="T171" s="36">
        <f>IF(_reported!T30="","",T170-_reported!T30)</f>
        <v/>
      </c>
    </row>
    <row r="172"/>
    <row r="173">
      <c r="D173" s="12" t="inlineStr">
        <is>
          <t>Acquisitions of Businesses, net of cash</t>
        </is>
      </c>
      <c r="G173" s="33" t="n">
        <v>-485.724</v>
      </c>
      <c r="H173" s="33" t="n">
        <v>-1644.718</v>
      </c>
      <c r="I173" s="34">
        <f>-(50+30)</f>
        <v/>
      </c>
      <c r="J173" s="34">
        <f>-(50+30)</f>
        <v/>
      </c>
      <c r="K173" s="34">
        <f>-(60+35)</f>
        <v/>
      </c>
      <c r="L173" s="34">
        <f>-(60+35)</f>
        <v/>
      </c>
      <c r="M173" s="34">
        <f>-(55+30)</f>
        <v/>
      </c>
      <c r="N173" s="34">
        <f>-(55+30)</f>
        <v/>
      </c>
      <c r="O173" s="34">
        <f>-(50+25)</f>
        <v/>
      </c>
      <c r="P173" s="34">
        <f>-(50+25)</f>
        <v/>
      </c>
      <c r="R173" s="33" t="n">
        <v>-170.586</v>
      </c>
      <c r="S173" s="33" t="n">
        <v>-726.574</v>
      </c>
      <c r="T173" s="33" t="n">
        <v>-1851.307</v>
      </c>
      <c r="U173" s="34">
        <f>H173+I173+J173+K173</f>
        <v/>
      </c>
      <c r="V173" s="34">
        <f>L173+M173+N173+O173</f>
        <v/>
      </c>
      <c r="W173" s="34">
        <f>-(250+150)</f>
        <v/>
      </c>
      <c r="X173" s="34">
        <f>-(200+120)</f>
        <v/>
      </c>
      <c r="Y173" s="34">
        <f>-(200+120)</f>
        <v/>
      </c>
    </row>
    <row r="174">
      <c r="D174" s="12" t="inlineStr">
        <is>
          <t>Purchase of Intangible Assets</t>
        </is>
      </c>
      <c r="G174" s="37" t="n">
        <v>-0.022</v>
      </c>
      <c r="H174" s="37" t="n">
        <v>0</v>
      </c>
      <c r="I174" s="37" t="n">
        <v>0</v>
      </c>
      <c r="J174" s="37" t="n">
        <v>0</v>
      </c>
      <c r="K174" s="37" t="n">
        <v>0</v>
      </c>
      <c r="L174" s="37" t="n">
        <v>0</v>
      </c>
      <c r="M174" s="37" t="n">
        <v>0</v>
      </c>
      <c r="N174" s="37" t="n">
        <v>0</v>
      </c>
      <c r="O174" s="37" t="n">
        <v>0</v>
      </c>
      <c r="P174" s="37" t="n">
        <v>0</v>
      </c>
      <c r="R174" s="37" t="n">
        <v>-0.958</v>
      </c>
      <c r="S174" s="37" t="n">
        <v>-162.476</v>
      </c>
      <c r="T174" s="37" t="n">
        <v>-0.067</v>
      </c>
      <c r="U174" s="38">
        <f>H174+I174+J174+K174</f>
        <v/>
      </c>
      <c r="V174" s="38">
        <f>L174+M174+N174+O174</f>
        <v/>
      </c>
      <c r="W174" s="37" t="n">
        <v>0</v>
      </c>
      <c r="X174" s="37" t="n">
        <v>0</v>
      </c>
      <c r="Y174" s="37" t="n">
        <v>0</v>
      </c>
    </row>
    <row r="175">
      <c r="D175" s="12" t="inlineStr">
        <is>
          <t>Purchase of PP&amp;E (Capex)</t>
        </is>
      </c>
      <c r="G175" s="37" t="n">
        <v>0</v>
      </c>
      <c r="H175" s="37" t="n">
        <v>-3.225</v>
      </c>
      <c r="I175" s="37" t="n">
        <v>-3.5</v>
      </c>
      <c r="J175" s="37" t="n">
        <v>-3.5</v>
      </c>
      <c r="K175" s="37" t="n">
        <v>-4</v>
      </c>
      <c r="L175" s="37" t="n">
        <v>-4</v>
      </c>
      <c r="M175" s="37" t="n">
        <v>-4.5</v>
      </c>
      <c r="N175" s="37" t="n">
        <v>-4.5</v>
      </c>
      <c r="O175" s="37" t="n">
        <v>-5</v>
      </c>
      <c r="P175" s="37" t="n">
        <v>-5</v>
      </c>
      <c r="R175" s="37" t="n">
        <v>-4.044</v>
      </c>
      <c r="S175" s="37" t="n">
        <v>-0.604</v>
      </c>
      <c r="T175" s="37" t="n">
        <v>-0.501</v>
      </c>
      <c r="U175" s="38">
        <f>H175+I175+J175+K175</f>
        <v/>
      </c>
      <c r="V175" s="38">
        <f>L175+M175+N175+O175</f>
        <v/>
      </c>
      <c r="W175" s="37" t="n">
        <v>-20</v>
      </c>
      <c r="X175" s="37" t="n">
        <v>-22</v>
      </c>
      <c r="Y175" s="37" t="n">
        <v>-24</v>
      </c>
    </row>
    <row r="176">
      <c r="D176" s="12" t="inlineStr">
        <is>
          <t>Proceeds from Other Investments</t>
        </is>
      </c>
      <c r="G176" s="37" t="n">
        <v>0</v>
      </c>
      <c r="H176" s="37" t="n">
        <v>0</v>
      </c>
      <c r="I176" s="37" t="n">
        <v>0</v>
      </c>
      <c r="J176" s="37" t="n">
        <v>0</v>
      </c>
      <c r="K176" s="37" t="n">
        <v>0</v>
      </c>
      <c r="L176" s="37" t="n">
        <v>0</v>
      </c>
      <c r="M176" s="37" t="n">
        <v>0</v>
      </c>
      <c r="N176" s="37" t="n">
        <v>0</v>
      </c>
      <c r="O176" s="37" t="n">
        <v>0</v>
      </c>
      <c r="P176" s="37" t="n">
        <v>0</v>
      </c>
      <c r="R176" s="37" t="n">
        <v>5.295</v>
      </c>
      <c r="S176" s="37" t="n">
        <v>0</v>
      </c>
      <c r="T176" s="37" t="n">
        <v>0</v>
      </c>
      <c r="U176" s="38">
        <f>H176+I176+J176+K176</f>
        <v/>
      </c>
      <c r="V176" s="38">
        <f>L176+M176+N176+O176</f>
        <v/>
      </c>
      <c r="W176" s="37" t="n">
        <v>0</v>
      </c>
      <c r="X176" s="37" t="n">
        <v>0</v>
      </c>
      <c r="Y176" s="37" t="n">
        <v>0</v>
      </c>
    </row>
    <row r="177">
      <c r="A177" s="9" t="inlineStr">
        <is>
          <t>x</t>
        </is>
      </c>
      <c r="B177" s="10" t="inlineStr">
        <is>
          <t>Cash Flow from Investing Activities</t>
        </is>
      </c>
      <c r="G177" s="35">
        <f>SUM(G173:G176)</f>
        <v/>
      </c>
      <c r="H177" s="35">
        <f>SUM(H173:H176)</f>
        <v/>
      </c>
      <c r="I177" s="35">
        <f>SUM(I173:I176)</f>
        <v/>
      </c>
      <c r="J177" s="35">
        <f>SUM(J173:J176)</f>
        <v/>
      </c>
      <c r="K177" s="35">
        <f>SUM(K173:K176)</f>
        <v/>
      </c>
      <c r="L177" s="35">
        <f>SUM(L173:L176)</f>
        <v/>
      </c>
      <c r="M177" s="35">
        <f>SUM(M173:M176)</f>
        <v/>
      </c>
      <c r="N177" s="35">
        <f>SUM(N173:N176)</f>
        <v/>
      </c>
      <c r="O177" s="35">
        <f>SUM(O173:O176)</f>
        <v/>
      </c>
      <c r="P177" s="35">
        <f>SUM(P173:P176)</f>
        <v/>
      </c>
      <c r="R177" s="35">
        <f>SUM(R173:R176)</f>
        <v/>
      </c>
      <c r="S177" s="35">
        <f>SUM(S173:S176)</f>
        <v/>
      </c>
      <c r="T177" s="35">
        <f>SUM(T173:T176)</f>
        <v/>
      </c>
      <c r="U177" s="35">
        <f>H177+I177+J177+K177</f>
        <v/>
      </c>
      <c r="V177" s="35">
        <f>L177+M177+N177+O177</f>
        <v/>
      </c>
      <c r="W177" s="35">
        <f>SUM(W173:W176)</f>
        <v/>
      </c>
      <c r="X177" s="35">
        <f>SUM(X173:X176)</f>
        <v/>
      </c>
      <c r="Y177" s="35">
        <f>SUM(Y173:Y176)</f>
        <v/>
      </c>
    </row>
    <row r="178">
      <c r="D178" s="8" t="inlineStr">
        <is>
          <t>Reconciliation: variance vs. as-reported</t>
        </is>
      </c>
      <c r="G178" s="36">
        <f>IF(_reported!G31="","",G177-_reported!G31)</f>
        <v/>
      </c>
      <c r="H178" s="36">
        <f>IF(_reported!H31="","",H177-_reported!H31)</f>
        <v/>
      </c>
      <c r="R178" s="36">
        <f>IF(_reported!R31="","",R177-_reported!R31)</f>
        <v/>
      </c>
      <c r="S178" s="36">
        <f>IF(_reported!S31="","",S177-_reported!S31)</f>
        <v/>
      </c>
      <c r="T178" s="36">
        <f>IF(_reported!T31="","",T177-_reported!T31)</f>
        <v/>
      </c>
    </row>
    <row r="179"/>
    <row r="180">
      <c r="D180" s="12" t="inlineStr">
        <is>
          <t>Principal Repayments of Long-Term Debt</t>
        </is>
      </c>
      <c r="G180" s="33" t="n">
        <v>-60.85</v>
      </c>
      <c r="H180" s="33" t="n">
        <v>-144.156</v>
      </c>
      <c r="I180" s="33" t="n">
        <v>-100</v>
      </c>
      <c r="J180" s="33" t="n">
        <v>-100</v>
      </c>
      <c r="K180" s="33" t="n">
        <v>-120</v>
      </c>
      <c r="L180" s="33" t="n">
        <v>-110</v>
      </c>
      <c r="M180" s="33" t="n">
        <v>-110</v>
      </c>
      <c r="N180" s="33" t="n">
        <v>-100</v>
      </c>
      <c r="O180" s="33" t="n">
        <v>-100</v>
      </c>
      <c r="P180" s="33" t="n">
        <v>-90</v>
      </c>
      <c r="R180" s="33" t="n">
        <v>-85.431</v>
      </c>
      <c r="S180" s="33" t="n">
        <v>-347.427</v>
      </c>
      <c r="T180" s="33" t="n">
        <v>-435.804</v>
      </c>
      <c r="U180" s="34">
        <f>H180+I180+J180+K180</f>
        <v/>
      </c>
      <c r="V180" s="34">
        <f>L180+M180+N180+O180</f>
        <v/>
      </c>
      <c r="W180" s="33" t="n">
        <v>-350</v>
      </c>
      <c r="X180" s="33" t="n">
        <v>-300</v>
      </c>
      <c r="Y180" s="33" t="n">
        <v>-300</v>
      </c>
    </row>
    <row r="181">
      <c r="D181" s="12" t="inlineStr">
        <is>
          <t>Proceeds from Issuance of Debt</t>
        </is>
      </c>
      <c r="G181" s="37" t="n">
        <v>862.901</v>
      </c>
      <c r="H181" s="37" t="n">
        <v>1967.57</v>
      </c>
      <c r="I181" s="37" t="n">
        <v>586.398</v>
      </c>
      <c r="J181" s="37" t="n">
        <v>0</v>
      </c>
      <c r="K181" s="37" t="n">
        <v>0</v>
      </c>
      <c r="L181" s="37" t="n">
        <v>0</v>
      </c>
      <c r="M181" s="37" t="n">
        <v>0</v>
      </c>
      <c r="N181" s="37" t="n">
        <v>0</v>
      </c>
      <c r="O181" s="37" t="n">
        <v>0</v>
      </c>
      <c r="P181" s="37" t="n">
        <v>0</v>
      </c>
      <c r="R181" s="37" t="n">
        <v>123.606</v>
      </c>
      <c r="S181" s="37" t="n">
        <v>838.295</v>
      </c>
      <c r="T181" s="37" t="n">
        <v>2146.662</v>
      </c>
      <c r="U181" s="38">
        <f>H181+I181+J181+K181</f>
        <v/>
      </c>
      <c r="V181" s="38">
        <f>L181+M181+N181+O181</f>
        <v/>
      </c>
      <c r="W181" s="37" t="n">
        <v>0</v>
      </c>
      <c r="X181" s="37" t="n">
        <v>0</v>
      </c>
      <c r="Y181" s="37" t="n">
        <v>0</v>
      </c>
    </row>
    <row r="182">
      <c r="D182" s="12" t="inlineStr">
        <is>
          <t>Proceeds from Stock Issuance (Equity Comp)</t>
        </is>
      </c>
      <c r="G182" s="37" t="n">
        <v>0</v>
      </c>
      <c r="H182" s="37" t="n">
        <v>6.937</v>
      </c>
      <c r="I182" s="37" t="n">
        <v>0</v>
      </c>
      <c r="J182" s="37" t="n">
        <v>0</v>
      </c>
      <c r="K182" s="37" t="n">
        <v>0</v>
      </c>
      <c r="L182" s="37" t="n">
        <v>0</v>
      </c>
      <c r="M182" s="37" t="n">
        <v>0</v>
      </c>
      <c r="N182" s="37" t="n">
        <v>0</v>
      </c>
      <c r="O182" s="37" t="n">
        <v>0</v>
      </c>
      <c r="P182" s="37" t="n">
        <v>0</v>
      </c>
      <c r="R182" s="37" t="n">
        <v>0.145</v>
      </c>
      <c r="S182" s="37" t="n">
        <v>0.157</v>
      </c>
      <c r="T182" s="37" t="n">
        <v>0.418</v>
      </c>
      <c r="U182" s="38">
        <f>H182+I182+J182+K182</f>
        <v/>
      </c>
      <c r="V182" s="38">
        <f>L182+M182+N182+O182</f>
        <v/>
      </c>
      <c r="W182" s="37" t="n">
        <v>0</v>
      </c>
      <c r="X182" s="37" t="n">
        <v>0</v>
      </c>
      <c r="Y182" s="37" t="n">
        <v>0</v>
      </c>
    </row>
    <row r="183">
      <c r="D183" s="12" t="inlineStr">
        <is>
          <t>Payments of Debt Issuance Cost</t>
        </is>
      </c>
      <c r="G183" s="37" t="n">
        <v>-23.612</v>
      </c>
      <c r="H183" s="37" t="n">
        <v>-90.485</v>
      </c>
      <c r="I183" s="37" t="n">
        <v>0</v>
      </c>
      <c r="J183" s="37" t="n">
        <v>0</v>
      </c>
      <c r="K183" s="37" t="n">
        <v>0</v>
      </c>
      <c r="L183" s="37" t="n">
        <v>0</v>
      </c>
      <c r="M183" s="37" t="n">
        <v>0</v>
      </c>
      <c r="N183" s="37" t="n">
        <v>0</v>
      </c>
      <c r="O183" s="37" t="n">
        <v>0</v>
      </c>
      <c r="P183" s="37" t="n">
        <v>0</v>
      </c>
      <c r="R183" s="37" t="n">
        <v>-1.242</v>
      </c>
      <c r="S183" s="37" t="n">
        <v>-21.975</v>
      </c>
      <c r="T183" s="37" t="n">
        <v>-47.489</v>
      </c>
      <c r="U183" s="38">
        <f>H183+I183+J183+K183</f>
        <v/>
      </c>
      <c r="V183" s="38">
        <f>L183+M183+N183+O183</f>
        <v/>
      </c>
      <c r="W183" s="37" t="n">
        <v>0</v>
      </c>
      <c r="X183" s="37" t="n">
        <v>0</v>
      </c>
      <c r="Y183" s="37" t="n">
        <v>0</v>
      </c>
    </row>
    <row r="184">
      <c r="D184" s="12" t="inlineStr">
        <is>
          <t>Proceeds from Paid-In Capital &amp; Treasury Sales</t>
        </is>
      </c>
      <c r="G184" s="37" t="n">
        <v>0</v>
      </c>
      <c r="H184" s="37" t="n">
        <v>1.294</v>
      </c>
      <c r="I184" s="37" t="n">
        <v>0</v>
      </c>
      <c r="J184" s="37" t="n">
        <v>933.333</v>
      </c>
      <c r="K184" s="37" t="n">
        <v>0</v>
      </c>
      <c r="L184" s="37" t="n">
        <v>0</v>
      </c>
      <c r="M184" s="37" t="n">
        <v>0</v>
      </c>
      <c r="N184" s="37" t="n">
        <v>0</v>
      </c>
      <c r="O184" s="37" t="n">
        <v>0</v>
      </c>
      <c r="P184" s="37" t="n">
        <v>0</v>
      </c>
      <c r="R184" s="37" t="n">
        <v>73.586</v>
      </c>
      <c r="S184" s="37" t="n">
        <v>194.994</v>
      </c>
      <c r="T184" s="37" t="n">
        <v>272.145</v>
      </c>
      <c r="U184" s="38">
        <f>H184+I184+J184+K184</f>
        <v/>
      </c>
      <c r="V184" s="38">
        <f>L184+M184+N184+O184</f>
        <v/>
      </c>
      <c r="W184" s="37" t="n">
        <v>0</v>
      </c>
      <c r="X184" s="37" t="n">
        <v>0</v>
      </c>
      <c r="Y184" s="37" t="n">
        <v>0</v>
      </c>
    </row>
    <row r="185">
      <c r="A185" s="9" t="inlineStr">
        <is>
          <t>x</t>
        </is>
      </c>
      <c r="B185" s="10" t="inlineStr">
        <is>
          <t>Cash Flow from Financing Activities</t>
        </is>
      </c>
      <c r="G185" s="35">
        <f>SUM(G180:G184)</f>
        <v/>
      </c>
      <c r="H185" s="35">
        <f>SUM(H180:H184)</f>
        <v/>
      </c>
      <c r="I185" s="35">
        <f>SUM(I180:I184)</f>
        <v/>
      </c>
      <c r="J185" s="35">
        <f>SUM(J180:J184)</f>
        <v/>
      </c>
      <c r="K185" s="35">
        <f>SUM(K180:K184)</f>
        <v/>
      </c>
      <c r="L185" s="35">
        <f>SUM(L180:L184)</f>
        <v/>
      </c>
      <c r="M185" s="35">
        <f>SUM(M180:M184)</f>
        <v/>
      </c>
      <c r="N185" s="35">
        <f>SUM(N180:N184)</f>
        <v/>
      </c>
      <c r="O185" s="35">
        <f>SUM(O180:O184)</f>
        <v/>
      </c>
      <c r="P185" s="35">
        <f>SUM(P180:P184)</f>
        <v/>
      </c>
      <c r="R185" s="35">
        <f>SUM(R180:R184)</f>
        <v/>
      </c>
      <c r="S185" s="35">
        <f>SUM(S180:S184)</f>
        <v/>
      </c>
      <c r="T185" s="35">
        <f>SUM(T180:T184)</f>
        <v/>
      </c>
      <c r="U185" s="35">
        <f>H185+I185+J185+K185</f>
        <v/>
      </c>
      <c r="V185" s="35">
        <f>L185+M185+N185+O185</f>
        <v/>
      </c>
      <c r="W185" s="35">
        <f>SUM(W180:W184)</f>
        <v/>
      </c>
      <c r="X185" s="35">
        <f>SUM(X180:X184)</f>
        <v/>
      </c>
      <c r="Y185" s="35">
        <f>SUM(Y180:Y184)</f>
        <v/>
      </c>
    </row>
    <row r="186">
      <c r="D186" s="8" t="inlineStr">
        <is>
          <t>Reconciliation: variance vs. as-reported</t>
        </is>
      </c>
      <c r="G186" s="36">
        <f>IF(_reported!G32="","",G185-_reported!G32)</f>
        <v/>
      </c>
      <c r="H186" s="36">
        <f>IF(_reported!H32="","",H185-_reported!H32)</f>
        <v/>
      </c>
      <c r="R186" s="36">
        <f>IF(_reported!R32="","",R185-_reported!R32)</f>
        <v/>
      </c>
      <c r="S186" s="36">
        <f>IF(_reported!S32="","",S185-_reported!S32)</f>
        <v/>
      </c>
      <c r="T186" s="36">
        <f>IF(_reported!T32="","",T185-_reported!T32)</f>
        <v/>
      </c>
    </row>
    <row r="187"/>
    <row r="188">
      <c r="A188" s="9" t="inlineStr">
        <is>
          <t>x</t>
        </is>
      </c>
      <c r="B188" s="10" t="inlineStr">
        <is>
          <t>Total Cash Generated (Used)</t>
        </is>
      </c>
      <c r="G188" s="35">
        <f>G170+G177+G185</f>
        <v/>
      </c>
      <c r="H188" s="35">
        <f>H170+H177+H185</f>
        <v/>
      </c>
      <c r="I188" s="35">
        <f>I170+I177+I185</f>
        <v/>
      </c>
      <c r="J188" s="35">
        <f>J170+J177+J185</f>
        <v/>
      </c>
      <c r="K188" s="35">
        <f>K170+K177+K185</f>
        <v/>
      </c>
      <c r="L188" s="35">
        <f>L170+L177+L185</f>
        <v/>
      </c>
      <c r="M188" s="35">
        <f>M170+M177+M185</f>
        <v/>
      </c>
      <c r="N188" s="35">
        <f>N170+N177+N185</f>
        <v/>
      </c>
      <c r="O188" s="35">
        <f>O170+O177+O185</f>
        <v/>
      </c>
      <c r="P188" s="35">
        <f>P170+P177+P185</f>
        <v/>
      </c>
      <c r="R188" s="35">
        <f>R170+R177+R185</f>
        <v/>
      </c>
      <c r="S188" s="35">
        <f>S170+S177+S185</f>
        <v/>
      </c>
      <c r="T188" s="35">
        <f>T170+T177+T185</f>
        <v/>
      </c>
      <c r="U188" s="35">
        <f>H188+I188+J188+K188</f>
        <v/>
      </c>
      <c r="V188" s="35">
        <f>L188+M188+N188+O188</f>
        <v/>
      </c>
      <c r="W188" s="35">
        <f>W170+W177+W185</f>
        <v/>
      </c>
      <c r="X188" s="35">
        <f>X170+X177+X185</f>
        <v/>
      </c>
      <c r="Y188" s="35">
        <f>Y170+Y177+Y185</f>
        <v/>
      </c>
    </row>
    <row r="189">
      <c r="D189" s="8" t="inlineStr">
        <is>
          <t>Reconciliation: variance vs. as-reported</t>
        </is>
      </c>
      <c r="G189" s="36">
        <f>IF(_reported!G33="","",G188-_reported!G33)</f>
        <v/>
      </c>
      <c r="H189" s="36">
        <f>IF(_reported!H33="","",H188-_reported!H33)</f>
        <v/>
      </c>
      <c r="R189" s="36">
        <f>IF(_reported!R33="","",R188-_reported!R33)</f>
        <v/>
      </c>
      <c r="S189" s="36">
        <f>IF(_reported!S33="","",S188-_reported!S33)</f>
        <v/>
      </c>
      <c r="T189" s="36">
        <f>IF(_reported!T33="","",T188-_reported!T33)</f>
        <v/>
      </c>
    </row>
    <row r="190"/>
    <row r="191">
      <c r="D191" s="12" t="inlineStr">
        <is>
          <t>Effect of Exchange Rate Changes</t>
        </is>
      </c>
      <c r="G191" s="33" t="n">
        <v>11.559</v>
      </c>
      <c r="H191" s="33" t="n">
        <v>-9.993</v>
      </c>
      <c r="I191" s="33" t="n">
        <v>0</v>
      </c>
      <c r="J191" s="33" t="n">
        <v>0</v>
      </c>
      <c r="K191" s="33" t="n">
        <v>0</v>
      </c>
      <c r="L191" s="33" t="n">
        <v>0</v>
      </c>
      <c r="M191" s="33" t="n">
        <v>0</v>
      </c>
      <c r="N191" s="33" t="n">
        <v>0</v>
      </c>
      <c r="O191" s="33" t="n">
        <v>0</v>
      </c>
      <c r="P191" s="33" t="n">
        <v>0</v>
      </c>
      <c r="R191" s="33" t="n">
        <v>3.643</v>
      </c>
      <c r="S191" s="33" t="n">
        <v>-29.623</v>
      </c>
      <c r="T191" s="33" t="n">
        <v>16.562</v>
      </c>
      <c r="U191" s="34">
        <f>H191+I191+J191+K191</f>
        <v/>
      </c>
      <c r="V191" s="34">
        <f>L191+M191+N191+O191</f>
        <v/>
      </c>
      <c r="W191" s="33" t="n">
        <v>0</v>
      </c>
      <c r="X191" s="33" t="n">
        <v>0</v>
      </c>
      <c r="Y191" s="33" t="n">
        <v>0</v>
      </c>
    </row>
    <row r="192">
      <c r="A192" s="9" t="inlineStr">
        <is>
          <t>x</t>
        </is>
      </c>
      <c r="B192" s="10" t="inlineStr">
        <is>
          <t>Net Increase (Decrease) in Cash</t>
        </is>
      </c>
      <c r="G192" s="35">
        <f>G188+G191</f>
        <v/>
      </c>
      <c r="H192" s="35">
        <f>H188+H191</f>
        <v/>
      </c>
      <c r="I192" s="35">
        <f>I188+I191</f>
        <v/>
      </c>
      <c r="J192" s="35">
        <f>J188+J191</f>
        <v/>
      </c>
      <c r="K192" s="35">
        <f>K188+K191</f>
        <v/>
      </c>
      <c r="L192" s="35">
        <f>L188+L191</f>
        <v/>
      </c>
      <c r="M192" s="35">
        <f>M188+M191</f>
        <v/>
      </c>
      <c r="N192" s="35">
        <f>N188+N191</f>
        <v/>
      </c>
      <c r="O192" s="35">
        <f>O188+O191</f>
        <v/>
      </c>
      <c r="P192" s="35">
        <f>P188+P191</f>
        <v/>
      </c>
      <c r="R192" s="35">
        <f>R188+R191</f>
        <v/>
      </c>
      <c r="S192" s="35">
        <f>S188+S191</f>
        <v/>
      </c>
      <c r="T192" s="35">
        <f>T188+T191</f>
        <v/>
      </c>
      <c r="U192" s="35">
        <f>H192+I192+J192+K192</f>
        <v/>
      </c>
      <c r="V192" s="35">
        <f>L192+M192+N192+O192</f>
        <v/>
      </c>
      <c r="W192" s="35">
        <f>W188+W191</f>
        <v/>
      </c>
      <c r="X192" s="35">
        <f>X188+X191</f>
        <v/>
      </c>
      <c r="Y192" s="35">
        <f>Y188+Y191</f>
        <v/>
      </c>
    </row>
    <row r="193">
      <c r="D193" s="8" t="inlineStr">
        <is>
          <t>Reconciliation: variance vs. as-reported</t>
        </is>
      </c>
      <c r="G193" s="36">
        <f>IF(_reported!G34="","",G192-_reported!G34)</f>
        <v/>
      </c>
      <c r="H193" s="36">
        <f>IF(_reported!H34="","",H192-_reported!H34)</f>
        <v/>
      </c>
      <c r="R193" s="36">
        <f>IF(_reported!R34="","",R192-_reported!R34)</f>
        <v/>
      </c>
      <c r="S193" s="36">
        <f>IF(_reported!S34="","",S192-_reported!S34)</f>
        <v/>
      </c>
      <c r="T193" s="36">
        <f>IF(_reported!T34="","",T192-_reported!T34)</f>
        <v/>
      </c>
    </row>
    <row r="194"/>
    <row r="195">
      <c r="D195" s="12" t="inlineStr">
        <is>
          <t>Cash, Beginning of Period</t>
        </is>
      </c>
      <c r="G195" s="33" t="n">
        <v>238.723</v>
      </c>
      <c r="H195" s="33" t="n">
        <v>629.944</v>
      </c>
      <c r="I195" s="34">
        <f>H196-H198</f>
        <v/>
      </c>
      <c r="J195" s="34">
        <f>I196-I198</f>
        <v/>
      </c>
      <c r="K195" s="34">
        <f>J196-J198</f>
        <v/>
      </c>
      <c r="L195" s="34">
        <f>K196-K198</f>
        <v/>
      </c>
      <c r="M195" s="34">
        <f>L196-L198</f>
        <v/>
      </c>
      <c r="N195" s="34">
        <f>M196-M198</f>
        <v/>
      </c>
      <c r="O195" s="34">
        <f>N196-N198</f>
        <v/>
      </c>
      <c r="P195" s="34">
        <f>O196-O198</f>
        <v/>
      </c>
      <c r="R195" s="33" t="n">
        <v>285.896</v>
      </c>
      <c r="S195" s="33" t="n">
        <v>289.063</v>
      </c>
      <c r="T195" s="33" t="n">
        <v>238.723</v>
      </c>
      <c r="U195" s="34">
        <f>H195</f>
        <v/>
      </c>
      <c r="V195" s="34">
        <f>L195</f>
        <v/>
      </c>
      <c r="W195" s="34">
        <f>V196-V198</f>
        <v/>
      </c>
      <c r="X195" s="34">
        <f>W196-W198</f>
        <v/>
      </c>
      <c r="Y195" s="34">
        <f>X196-X198</f>
        <v/>
      </c>
    </row>
    <row r="196">
      <c r="A196" s="9" t="inlineStr">
        <is>
          <t>x</t>
        </is>
      </c>
      <c r="B196" s="10" t="inlineStr">
        <is>
          <t>Cash, End of Period (incl. restricted)</t>
        </is>
      </c>
      <c r="G196" s="35">
        <f>G195+G192</f>
        <v/>
      </c>
      <c r="H196" s="35">
        <f>H195+H192</f>
        <v/>
      </c>
      <c r="I196" s="35">
        <f>I195+I192</f>
        <v/>
      </c>
      <c r="J196" s="35">
        <f>J195+J192</f>
        <v/>
      </c>
      <c r="K196" s="35">
        <f>K195+K192</f>
        <v/>
      </c>
      <c r="L196" s="35">
        <f>L195+L192</f>
        <v/>
      </c>
      <c r="M196" s="35">
        <f>M195+M192</f>
        <v/>
      </c>
      <c r="N196" s="35">
        <f>N195+N192</f>
        <v/>
      </c>
      <c r="O196" s="35">
        <f>O195+O192</f>
        <v/>
      </c>
      <c r="P196" s="35">
        <f>P195+P192</f>
        <v/>
      </c>
      <c r="R196" s="35">
        <f>R195+R192</f>
        <v/>
      </c>
      <c r="S196" s="35">
        <f>S195+S192</f>
        <v/>
      </c>
      <c r="T196" s="35">
        <f>T195+T192</f>
        <v/>
      </c>
      <c r="U196" s="35">
        <f>K196</f>
        <v/>
      </c>
      <c r="V196" s="35">
        <f>O196</f>
        <v/>
      </c>
      <c r="W196" s="35">
        <f>W195+W192</f>
        <v/>
      </c>
      <c r="X196" s="35">
        <f>X195+X192</f>
        <v/>
      </c>
      <c r="Y196" s="35">
        <f>Y195+Y192</f>
        <v/>
      </c>
    </row>
    <row r="197"/>
    <row r="198">
      <c r="D198" s="8" t="inlineStr">
        <is>
          <t>Less: Restricted Cash at End of Period</t>
        </is>
      </c>
      <c r="G198" s="33" t="n">
        <v>0</v>
      </c>
      <c r="H198" s="33" t="n">
        <v>48</v>
      </c>
      <c r="I198" s="33" t="n">
        <v>0</v>
      </c>
      <c r="J198" s="33" t="n">
        <v>0</v>
      </c>
      <c r="K198" s="33" t="n">
        <v>0</v>
      </c>
      <c r="L198" s="33" t="n">
        <v>0</v>
      </c>
      <c r="M198" s="33" t="n">
        <v>0</v>
      </c>
      <c r="N198" s="33" t="n">
        <v>0</v>
      </c>
      <c r="O198" s="33" t="n">
        <v>0</v>
      </c>
      <c r="P198" s="33" t="n">
        <v>0</v>
      </c>
      <c r="R198" s="33" t="n">
        <v>0</v>
      </c>
      <c r="S198" s="33" t="n">
        <v>0</v>
      </c>
      <c r="T198" s="33" t="n">
        <v>0</v>
      </c>
      <c r="U198" s="33" t="n">
        <v>0</v>
      </c>
      <c r="V198" s="33" t="n">
        <v>0</v>
      </c>
      <c r="W198" s="33" t="n">
        <v>0</v>
      </c>
      <c r="X198" s="33" t="n">
        <v>0</v>
      </c>
      <c r="Y198" s="33" t="n">
        <v>0</v>
      </c>
    </row>
    <row r="199">
      <c r="D199" s="8" t="inlineStr">
        <is>
          <t>Tie-out: (Cash End - Restricted) vs BS Cash (must = 0)</t>
        </is>
      </c>
      <c r="H199" s="36">
        <f>H196-H198-H84</f>
        <v/>
      </c>
      <c r="I199" s="36">
        <f>I196-I198-I84</f>
        <v/>
      </c>
      <c r="J199" s="36">
        <f>J196-J198-J84</f>
        <v/>
      </c>
      <c r="K199" s="36">
        <f>K196-K198-K84</f>
        <v/>
      </c>
      <c r="L199" s="36">
        <f>L196-L198-L84</f>
        <v/>
      </c>
      <c r="M199" s="36">
        <f>M196-M198-M84</f>
        <v/>
      </c>
      <c r="N199" s="36">
        <f>N196-N198-N84</f>
        <v/>
      </c>
      <c r="O199" s="36">
        <f>O196-O198-O84</f>
        <v/>
      </c>
      <c r="P199" s="36">
        <f>P196-P198-P84</f>
        <v/>
      </c>
      <c r="R199" s="36">
        <f>R196-R198-R84</f>
        <v/>
      </c>
      <c r="S199" s="36">
        <f>S196-S198-S84</f>
        <v/>
      </c>
      <c r="T199" s="36">
        <f>T196-T198-T84</f>
        <v/>
      </c>
      <c r="U199" s="36">
        <f>U196-U198-U84</f>
        <v/>
      </c>
      <c r="V199" s="36">
        <f>V196-V198-V84</f>
        <v/>
      </c>
      <c r="W199" s="36">
        <f>W196-W198-W84</f>
        <v/>
      </c>
      <c r="X199" s="36">
        <f>X196-X198-X84</f>
        <v/>
      </c>
      <c r="Y199" s="36">
        <f>Y196-Y198-Y84</f>
        <v/>
      </c>
    </row>
    <row r="200"/>
    <row r="201"/>
    <row r="202">
      <c r="B202" s="27" t="inlineStr">
        <is>
          <t>Cash Flow Ratios &amp; Assumptions</t>
        </is>
      </c>
      <c r="C202" s="27" t="n"/>
      <c r="D202" s="27" t="n"/>
      <c r="E202" s="27" t="n"/>
      <c r="F202" s="27" t="n"/>
      <c r="G202" s="27" t="n"/>
      <c r="H202" s="27" t="n"/>
      <c r="I202" s="27" t="n"/>
      <c r="J202" s="27" t="n"/>
      <c r="K202" s="27" t="n"/>
      <c r="L202" s="27" t="n"/>
      <c r="M202" s="27" t="n"/>
      <c r="N202" s="27" t="n"/>
      <c r="O202" s="27" t="n"/>
      <c r="P202" s="27" t="n"/>
      <c r="R202" s="27" t="n"/>
      <c r="S202" s="27" t="n"/>
      <c r="T202" s="27" t="n"/>
      <c r="U202" s="27" t="n"/>
      <c r="V202" s="27" t="n"/>
      <c r="W202" s="27" t="n"/>
      <c r="X202" s="27" t="n"/>
      <c r="Y202" s="27" t="n"/>
    </row>
    <row r="203"/>
    <row r="204">
      <c r="D204" s="10" t="inlineStr">
        <is>
          <t>Free Cash Flow (CFO + Capex + Purchase Intangibles)</t>
        </is>
      </c>
      <c r="G204" s="46">
        <f>G170+G175+G174</f>
        <v/>
      </c>
      <c r="H204" s="46">
        <f>H170+H175+H174</f>
        <v/>
      </c>
      <c r="I204" s="46">
        <f>I170+I175+I174</f>
        <v/>
      </c>
      <c r="J204" s="46">
        <f>J170+J175+J174</f>
        <v/>
      </c>
      <c r="K204" s="46">
        <f>K170+K175+K174</f>
        <v/>
      </c>
      <c r="L204" s="46">
        <f>L170+L175+L174</f>
        <v/>
      </c>
      <c r="M204" s="46">
        <f>M170+M175+M174</f>
        <v/>
      </c>
      <c r="N204" s="46">
        <f>N170+N175+N174</f>
        <v/>
      </c>
      <c r="O204" s="46">
        <f>O170+O175+O174</f>
        <v/>
      </c>
      <c r="P204" s="46">
        <f>P170+P175+P174</f>
        <v/>
      </c>
      <c r="R204" s="46">
        <f>R170+R175+R174</f>
        <v/>
      </c>
      <c r="S204" s="46">
        <f>S170+S175+S174</f>
        <v/>
      </c>
      <c r="T204" s="46">
        <f>T170+T175+T174</f>
        <v/>
      </c>
      <c r="U204" s="46">
        <f>U170+U175+U174</f>
        <v/>
      </c>
      <c r="V204" s="46">
        <f>V170+V175+V174</f>
        <v/>
      </c>
      <c r="W204" s="46">
        <f>W170+W175+W174</f>
        <v/>
      </c>
      <c r="X204" s="46">
        <f>X170+X175+X174</f>
        <v/>
      </c>
      <c r="Y204" s="46">
        <f>Y170+Y175+Y174</f>
        <v/>
      </c>
    </row>
    <row r="205"/>
    <row r="206">
      <c r="D206" s="12" t="inlineStr">
        <is>
          <t>CFO Margin (CFO / Revenue)</t>
        </is>
      </c>
      <c r="G206" s="40">
        <f>IFERROR(G170/G10,"")</f>
        <v/>
      </c>
      <c r="H206" s="40">
        <f>IFERROR(H170/H10,"")</f>
        <v/>
      </c>
      <c r="I206" s="40">
        <f>IFERROR(I170/I10,"")</f>
        <v/>
      </c>
      <c r="J206" s="40">
        <f>IFERROR(J170/J10,"")</f>
        <v/>
      </c>
      <c r="K206" s="40">
        <f>IFERROR(K170/K10,"")</f>
        <v/>
      </c>
      <c r="L206" s="40">
        <f>IFERROR(L170/L10,"")</f>
        <v/>
      </c>
      <c r="M206" s="40">
        <f>IFERROR(M170/M10,"")</f>
        <v/>
      </c>
      <c r="N206" s="40">
        <f>IFERROR(N170/N10,"")</f>
        <v/>
      </c>
      <c r="O206" s="40">
        <f>IFERROR(O170/O10,"")</f>
        <v/>
      </c>
      <c r="P206" s="40">
        <f>IFERROR(P170/P10,"")</f>
        <v/>
      </c>
      <c r="R206" s="40">
        <f>IFERROR(R170/R10,"")</f>
        <v/>
      </c>
      <c r="S206" s="40">
        <f>IFERROR(S170/S10,"")</f>
        <v/>
      </c>
      <c r="T206" s="40">
        <f>IFERROR(T170/T10,"")</f>
        <v/>
      </c>
      <c r="U206" s="40">
        <f>IFERROR(U170/U10,"")</f>
        <v/>
      </c>
      <c r="V206" s="40">
        <f>IFERROR(V170/V10,"")</f>
        <v/>
      </c>
      <c r="W206" s="40">
        <f>IFERROR(W170/W10,"")</f>
        <v/>
      </c>
      <c r="X206" s="40">
        <f>IFERROR(X170/X10,"")</f>
        <v/>
      </c>
      <c r="Y206" s="40">
        <f>IFERROR(Y170/Y10,"")</f>
        <v/>
      </c>
    </row>
    <row r="207">
      <c r="D207" s="12" t="inlineStr">
        <is>
          <t>FCF Margin</t>
        </is>
      </c>
      <c r="G207" s="40">
        <f>IFERROR(G204/G10,"")</f>
        <v/>
      </c>
      <c r="H207" s="40">
        <f>IFERROR(H204/H10,"")</f>
        <v/>
      </c>
      <c r="I207" s="40">
        <f>IFERROR(I204/I10,"")</f>
        <v/>
      </c>
      <c r="J207" s="40">
        <f>IFERROR(J204/J10,"")</f>
        <v/>
      </c>
      <c r="K207" s="40">
        <f>IFERROR(K204/K10,"")</f>
        <v/>
      </c>
      <c r="L207" s="40">
        <f>IFERROR(L204/L10,"")</f>
        <v/>
      </c>
      <c r="M207" s="40">
        <f>IFERROR(M204/M10,"")</f>
        <v/>
      </c>
      <c r="N207" s="40">
        <f>IFERROR(N204/N10,"")</f>
        <v/>
      </c>
      <c r="O207" s="40">
        <f>IFERROR(O204/O10,"")</f>
        <v/>
      </c>
      <c r="P207" s="40">
        <f>IFERROR(P204/P10,"")</f>
        <v/>
      </c>
      <c r="R207" s="40">
        <f>IFERROR(R204/R10,"")</f>
        <v/>
      </c>
      <c r="S207" s="40">
        <f>IFERROR(S204/S10,"")</f>
        <v/>
      </c>
      <c r="T207" s="40">
        <f>IFERROR(T204/T10,"")</f>
        <v/>
      </c>
      <c r="U207" s="40">
        <f>IFERROR(U204/U10,"")</f>
        <v/>
      </c>
      <c r="V207" s="40">
        <f>IFERROR(V204/V10,"")</f>
        <v/>
      </c>
      <c r="W207" s="40">
        <f>IFERROR(W204/W10,"")</f>
        <v/>
      </c>
      <c r="X207" s="40">
        <f>IFERROR(X204/X10,"")</f>
        <v/>
      </c>
      <c r="Y207" s="40">
        <f>IFERROR(Y204/Y10,"")</f>
        <v/>
      </c>
    </row>
    <row r="208">
      <c r="D208" s="12" t="inlineStr">
        <is>
          <t>M&amp;A Spend (% of Revenue) — roll-up intensity</t>
        </is>
      </c>
      <c r="G208" s="40">
        <f>IFERROR(-G173/G10,"")</f>
        <v/>
      </c>
      <c r="H208" s="40">
        <f>IFERROR(-H173/H10,"")</f>
        <v/>
      </c>
      <c r="I208" s="40">
        <f>IFERROR(-I173/I10,"")</f>
        <v/>
      </c>
      <c r="J208" s="40">
        <f>IFERROR(-J173/J10,"")</f>
        <v/>
      </c>
      <c r="K208" s="40">
        <f>IFERROR(-K173/K10,"")</f>
        <v/>
      </c>
      <c r="L208" s="40">
        <f>IFERROR(-L173/L10,"")</f>
        <v/>
      </c>
      <c r="M208" s="40">
        <f>IFERROR(-M173/M10,"")</f>
        <v/>
      </c>
      <c r="N208" s="40">
        <f>IFERROR(-N173/N10,"")</f>
        <v/>
      </c>
      <c r="O208" s="40">
        <f>IFERROR(-O173/O10,"")</f>
        <v/>
      </c>
      <c r="P208" s="40">
        <f>IFERROR(-P173/P10,"")</f>
        <v/>
      </c>
      <c r="R208" s="40">
        <f>IFERROR(-R173/R10,"")</f>
        <v/>
      </c>
      <c r="S208" s="40">
        <f>IFERROR(-S173/S10,"")</f>
        <v/>
      </c>
      <c r="T208" s="40">
        <f>IFERROR(-T173/T10,"")</f>
        <v/>
      </c>
      <c r="U208" s="40">
        <f>IFERROR(-U173/U10,"")</f>
        <v/>
      </c>
      <c r="V208" s="40">
        <f>IFERROR(-V173/V10,"")</f>
        <v/>
      </c>
      <c r="W208" s="40">
        <f>IFERROR(-W173/W10,"")</f>
        <v/>
      </c>
      <c r="X208" s="40">
        <f>IFERROR(-X173/X10,"")</f>
        <v/>
      </c>
      <c r="Y208" s="40">
        <f>IFERROR(-Y173/Y10,"")</f>
        <v/>
      </c>
    </row>
    <row r="209">
      <c r="D209" s="12" t="inlineStr">
        <is>
          <t>Equity Comp (% of Revenue)</t>
        </is>
      </c>
      <c r="G209" s="40">
        <f>IFERROR(G155/G10,"")</f>
        <v/>
      </c>
      <c r="H209" s="40">
        <f>IFERROR(H155/H10,"")</f>
        <v/>
      </c>
      <c r="I209" s="40">
        <f>IFERROR(I155/I10,"")</f>
        <v/>
      </c>
      <c r="J209" s="40">
        <f>IFERROR(J155/J10,"")</f>
        <v/>
      </c>
      <c r="K209" s="40">
        <f>IFERROR(K155/K10,"")</f>
        <v/>
      </c>
      <c r="L209" s="40">
        <f>IFERROR(L155/L10,"")</f>
        <v/>
      </c>
      <c r="M209" s="40">
        <f>IFERROR(M155/M10,"")</f>
        <v/>
      </c>
      <c r="N209" s="40">
        <f>IFERROR(N155/N10,"")</f>
        <v/>
      </c>
      <c r="O209" s="40">
        <f>IFERROR(O155/O10,"")</f>
        <v/>
      </c>
      <c r="P209" s="40">
        <f>IFERROR(P155/P10,"")</f>
        <v/>
      </c>
      <c r="R209" s="40">
        <f>IFERROR(R155/R10,"")</f>
        <v/>
      </c>
      <c r="S209" s="40">
        <f>IFERROR(S155/S10,"")</f>
        <v/>
      </c>
      <c r="T209" s="40">
        <f>IFERROR(T155/T10,"")</f>
        <v/>
      </c>
      <c r="U209" s="40">
        <f>IFERROR(U155/U10,"")</f>
        <v/>
      </c>
      <c r="V209" s="40">
        <f>IFERROR(V155/V10,"")</f>
        <v/>
      </c>
      <c r="W209" s="40">
        <f>IFERROR(W155/W10,"")</f>
        <v/>
      </c>
      <c r="X209" s="40">
        <f>IFERROR(X155/X10,"")</f>
        <v/>
      </c>
      <c r="Y209" s="40">
        <f>IFERROR(Y155/Y10,"")</f>
        <v/>
      </c>
    </row>
    <row r="210"/>
    <row r="211"/>
    <row r="212"/>
    <row r="213"/>
    <row r="214">
      <c r="B214" s="51" t="n"/>
      <c r="C214" s="51" t="n"/>
      <c r="D214" s="51" t="n"/>
      <c r="E214" s="51" t="n"/>
      <c r="F214" s="51" t="n"/>
      <c r="G214" s="51" t="n"/>
      <c r="H214" s="51" t="n"/>
      <c r="I214" s="51" t="n"/>
      <c r="J214" s="51" t="n"/>
      <c r="K214" s="51" t="n"/>
      <c r="L214" s="51" t="n"/>
      <c r="M214" s="51" t="n"/>
      <c r="N214" s="51" t="n"/>
      <c r="O214" s="51" t="n"/>
      <c r="P214" s="51" t="n"/>
      <c r="R214" s="51" t="n"/>
      <c r="S214" s="51" t="n"/>
      <c r="T214" s="51" t="n"/>
      <c r="U214" s="51" t="n"/>
      <c r="V214" s="51" t="n"/>
      <c r="W214" s="51" t="n"/>
      <c r="X214" s="51" t="n"/>
      <c r="Y214" s="51" t="n"/>
    </row>
    <row r="215"/>
    <row r="216">
      <c r="C216" s="12" t="n"/>
      <c r="H216" s="48" t="n"/>
      <c r="I216" s="48" t="n"/>
      <c r="J216" s="48" t="n"/>
      <c r="K216" s="48" t="n"/>
      <c r="L216" s="48" t="n"/>
      <c r="M216" s="48" t="n"/>
      <c r="N216" s="48" t="n"/>
      <c r="O216" s="48" t="n"/>
      <c r="P216" s="48" t="n"/>
      <c r="U216" s="48" t="n"/>
      <c r="V216" s="48" t="n"/>
      <c r="W216" s="48" t="n"/>
      <c r="X216" s="48" t="n"/>
      <c r="Y216" s="48" t="n"/>
    </row>
    <row r="217">
      <c r="D217" s="8" t="n"/>
      <c r="K217" s="40" t="n"/>
      <c r="L217" s="40" t="n"/>
      <c r="M217" s="40" t="n"/>
      <c r="N217" s="40" t="n"/>
      <c r="O217" s="40" t="n"/>
      <c r="P217" s="40" t="n"/>
      <c r="U217" s="40" t="n"/>
      <c r="V217" s="40" t="n"/>
      <c r="W217" s="40" t="n"/>
      <c r="X217" s="40" t="n"/>
      <c r="Y217" s="40" t="n"/>
    </row>
    <row r="218"/>
    <row r="219">
      <c r="C219" s="12" t="n"/>
      <c r="H219" s="49" t="n"/>
      <c r="I219" s="50" t="n"/>
      <c r="J219" s="50" t="n"/>
      <c r="K219" s="50" t="n"/>
      <c r="L219" s="50" t="n"/>
      <c r="M219" s="50" t="n"/>
      <c r="N219" s="50" t="n"/>
      <c r="O219" s="50" t="n"/>
      <c r="P219" s="50" t="n"/>
      <c r="U219" s="50" t="n"/>
      <c r="V219" s="50" t="n"/>
      <c r="W219" s="50" t="n"/>
      <c r="X219" s="50" t="n"/>
      <c r="Y219" s="50" t="n"/>
    </row>
    <row r="220"/>
    <row r="221">
      <c r="C221" s="12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U221" s="34" t="n"/>
      <c r="V221" s="34" t="n"/>
      <c r="W221" s="34" t="n"/>
      <c r="X221" s="34" t="n"/>
      <c r="Y221" s="34" t="n"/>
    </row>
    <row r="222">
      <c r="D222" s="8" t="n"/>
      <c r="K222" s="40" t="n"/>
      <c r="L222" s="40" t="n"/>
      <c r="M222" s="40" t="n"/>
      <c r="N222" s="40" t="n"/>
      <c r="O222" s="40" t="n"/>
      <c r="P222" s="40" t="n"/>
      <c r="U222" s="40" t="n"/>
      <c r="V222" s="40" t="n"/>
      <c r="W222" s="40" t="n"/>
      <c r="X222" s="40" t="n"/>
      <c r="Y222" s="40" t="n"/>
    </row>
    <row r="223"/>
    <row r="224">
      <c r="C224" s="8" t="n"/>
      <c r="H224" s="41" t="n"/>
      <c r="I224" s="41" t="n"/>
      <c r="J224" s="41" t="n"/>
      <c r="K224" s="41" t="n"/>
      <c r="L224" s="41" t="n"/>
      <c r="M224" s="41" t="n"/>
      <c r="N224" s="41" t="n"/>
      <c r="O224" s="41" t="n"/>
      <c r="P224" s="41" t="n"/>
      <c r="R224" s="41" t="n"/>
      <c r="S224" s="41" t="n"/>
      <c r="T224" s="41" t="n"/>
      <c r="U224" s="41" t="n"/>
      <c r="V224" s="41" t="n"/>
      <c r="W224" s="41" t="n"/>
      <c r="X224" s="41" t="n"/>
      <c r="Y224" s="41" t="n"/>
    </row>
    <row r="225"/>
    <row r="226"/>
    <row r="227"/>
    <row r="228">
      <c r="B228" s="51" t="n"/>
      <c r="C228" s="51" t="n"/>
      <c r="D228" s="51" t="n"/>
      <c r="E228" s="51" t="n"/>
      <c r="F228" s="51" t="n"/>
      <c r="G228" s="51" t="n"/>
      <c r="H228" s="51" t="n"/>
      <c r="I228" s="51" t="n"/>
      <c r="J228" s="51" t="n"/>
      <c r="K228" s="51" t="n"/>
      <c r="L228" s="51" t="n"/>
      <c r="M228" s="51" t="n"/>
      <c r="N228" s="51" t="n"/>
      <c r="O228" s="51" t="n"/>
      <c r="P228" s="51" t="n"/>
      <c r="R228" s="51" t="n"/>
      <c r="S228" s="51" t="n"/>
      <c r="T228" s="51" t="n"/>
      <c r="U228" s="51" t="n"/>
      <c r="V228" s="51" t="n"/>
      <c r="W228" s="51" t="n"/>
      <c r="X228" s="51" t="n"/>
      <c r="Y228" s="51" t="n"/>
    </row>
    <row r="229"/>
    <row r="230">
      <c r="C230" s="12" t="n"/>
      <c r="H230" s="40" t="n"/>
      <c r="I230" s="41" t="n"/>
      <c r="J230" s="41" t="n"/>
      <c r="K230" s="41" t="n"/>
      <c r="L230" s="41" t="n"/>
      <c r="M230" s="41" t="n"/>
      <c r="N230" s="41" t="n"/>
      <c r="O230" s="41" t="n"/>
      <c r="P230" s="41" t="n"/>
      <c r="R230" s="40" t="n"/>
      <c r="S230" s="40" t="n"/>
      <c r="T230" s="40" t="n"/>
      <c r="U230" s="41" t="n"/>
      <c r="V230" s="41" t="n"/>
      <c r="W230" s="41" t="n"/>
      <c r="X230" s="41" t="n"/>
      <c r="Y230" s="41" t="n"/>
    </row>
    <row r="231">
      <c r="C231" s="12" t="n"/>
      <c r="H231" s="40" t="n"/>
      <c r="I231" s="41" t="n"/>
      <c r="J231" s="41" t="n"/>
      <c r="K231" s="41" t="n"/>
      <c r="L231" s="41" t="n"/>
      <c r="M231" s="41" t="n"/>
      <c r="N231" s="41" t="n"/>
      <c r="O231" s="41" t="n"/>
      <c r="P231" s="41" t="n"/>
      <c r="R231" s="40" t="n"/>
      <c r="S231" s="40" t="n"/>
      <c r="T231" s="40" t="n"/>
      <c r="U231" s="41" t="n"/>
      <c r="V231" s="41" t="n"/>
      <c r="W231" s="41" t="n"/>
      <c r="X231" s="41" t="n"/>
      <c r="Y231" s="41" t="n"/>
    </row>
    <row r="232">
      <c r="C232" s="12" t="n"/>
      <c r="H232" s="40" t="n"/>
      <c r="I232" s="41" t="n"/>
      <c r="J232" s="41" t="n"/>
      <c r="K232" s="41" t="n"/>
      <c r="L232" s="41" t="n"/>
      <c r="M232" s="41" t="n"/>
      <c r="N232" s="41" t="n"/>
      <c r="O232" s="41" t="n"/>
      <c r="P232" s="41" t="n"/>
      <c r="R232" s="40" t="n"/>
      <c r="S232" s="40" t="n"/>
      <c r="T232" s="40" t="n"/>
      <c r="U232" s="41" t="n"/>
      <c r="V232" s="41" t="n"/>
      <c r="W232" s="41" t="n"/>
      <c r="X232" s="41" t="n"/>
      <c r="Y232" s="41" t="n"/>
    </row>
    <row r="233">
      <c r="C233" s="12" t="n"/>
      <c r="H233" s="40" t="n"/>
      <c r="I233" s="41" t="n"/>
      <c r="J233" s="41" t="n"/>
      <c r="K233" s="41" t="n"/>
      <c r="L233" s="41" t="n"/>
      <c r="M233" s="41" t="n"/>
      <c r="N233" s="41" t="n"/>
      <c r="O233" s="41" t="n"/>
      <c r="P233" s="41" t="n"/>
      <c r="R233" s="40" t="n"/>
      <c r="S233" s="40" t="n"/>
      <c r="T233" s="40" t="n"/>
      <c r="U233" s="41" t="n"/>
      <c r="V233" s="41" t="n"/>
      <c r="W233" s="41" t="n"/>
      <c r="X233" s="41" t="n"/>
      <c r="Y233" s="41" t="n"/>
    </row>
    <row r="234">
      <c r="C234" s="12" t="n"/>
      <c r="H234" s="40" t="n"/>
      <c r="I234" s="41" t="n"/>
      <c r="J234" s="41" t="n"/>
      <c r="K234" s="41" t="n"/>
      <c r="L234" s="41" t="n"/>
      <c r="M234" s="41" t="n"/>
      <c r="N234" s="41" t="n"/>
      <c r="O234" s="41" t="n"/>
      <c r="P234" s="41" t="n"/>
      <c r="R234" s="40" t="n"/>
      <c r="S234" s="40" t="n"/>
      <c r="T234" s="40" t="n"/>
      <c r="U234" s="41" t="n"/>
      <c r="V234" s="41" t="n"/>
      <c r="W234" s="41" t="n"/>
      <c r="X234" s="41" t="n"/>
      <c r="Y234" s="41" t="n"/>
    </row>
    <row r="235">
      <c r="C235" s="12" t="n"/>
      <c r="H235" s="40" t="n"/>
      <c r="I235" s="41" t="n"/>
      <c r="J235" s="41" t="n"/>
      <c r="K235" s="41" t="n"/>
      <c r="L235" s="41" t="n"/>
      <c r="M235" s="41" t="n"/>
      <c r="N235" s="41" t="n"/>
      <c r="O235" s="41" t="n"/>
      <c r="P235" s="41" t="n"/>
      <c r="R235" s="40" t="n"/>
      <c r="S235" s="40" t="n"/>
      <c r="T235" s="40" t="n"/>
      <c r="U235" s="41" t="n"/>
      <c r="V235" s="41" t="n"/>
      <c r="W235" s="41" t="n"/>
      <c r="X235" s="41" t="n"/>
      <c r="Y235" s="41" t="n"/>
    </row>
    <row r="236">
      <c r="C236" s="12" t="n"/>
      <c r="H236" s="40" t="n"/>
      <c r="I236" s="41" t="n"/>
      <c r="J236" s="41" t="n"/>
      <c r="K236" s="41" t="n"/>
      <c r="L236" s="41" t="n"/>
      <c r="M236" s="41" t="n"/>
      <c r="N236" s="41" t="n"/>
      <c r="O236" s="41" t="n"/>
      <c r="P236" s="41" t="n"/>
      <c r="R236" s="40" t="n"/>
      <c r="S236" s="40" t="n"/>
      <c r="T236" s="40" t="n"/>
      <c r="U236" s="41" t="n"/>
      <c r="V236" s="41" t="n"/>
      <c r="W236" s="41" t="n"/>
      <c r="X236" s="41" t="n"/>
      <c r="Y236" s="41" t="n"/>
    </row>
    <row r="237">
      <c r="C237" s="12" t="n"/>
      <c r="G237" s="40" t="n"/>
      <c r="H237" s="40" t="n"/>
      <c r="I237" s="41" t="n"/>
      <c r="J237" s="41" t="n"/>
      <c r="K237" s="41" t="n"/>
      <c r="L237" s="41" t="n"/>
      <c r="M237" s="41" t="n"/>
      <c r="N237" s="41" t="n"/>
      <c r="O237" s="41" t="n"/>
      <c r="P237" s="41" t="n"/>
      <c r="R237" s="40" t="n"/>
      <c r="S237" s="40" t="n"/>
      <c r="T237" s="40" t="n"/>
      <c r="U237" s="41" t="n"/>
      <c r="V237" s="41" t="n"/>
      <c r="W237" s="41" t="n"/>
      <c r="X237" s="41" t="n"/>
      <c r="Y237" s="41" t="n"/>
    </row>
    <row r="238">
      <c r="C238" s="12" t="n"/>
      <c r="G238" s="40" t="n"/>
      <c r="H238" s="40" t="n"/>
      <c r="I238" s="41" t="n"/>
      <c r="J238" s="41" t="n"/>
      <c r="K238" s="41" t="n"/>
      <c r="L238" s="41" t="n"/>
      <c r="M238" s="41" t="n"/>
      <c r="N238" s="41" t="n"/>
      <c r="O238" s="41" t="n"/>
      <c r="P238" s="41" t="n"/>
      <c r="R238" s="40" t="n"/>
      <c r="S238" s="40" t="n"/>
      <c r="T238" s="40" t="n"/>
      <c r="U238" s="41" t="n"/>
      <c r="V238" s="41" t="n"/>
      <c r="W238" s="41" t="n"/>
      <c r="X238" s="41" t="n"/>
      <c r="Y238" s="41" t="n"/>
    </row>
    <row r="239"/>
    <row r="240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08080"/>
    <outlinePr summaryBelow="1" summaryRight="1"/>
    <pageSetUpPr/>
  </sheetPr>
  <dimension ref="A1:T34"/>
  <sheetViews>
    <sheetView showGridLines="0" zoomScale="85" workbookViewId="0">
      <selection activeCell="A1" sqref="A1"/>
    </sheetView>
  </sheetViews>
  <sheetFormatPr baseColWidth="8" defaultRowHeight="15"/>
  <cols>
    <col width="1.7" customWidth="1" min="1" max="1"/>
    <col width="2.4" customWidth="1" min="2" max="2"/>
    <col width="38" customWidth="1" min="3" max="3"/>
    <col width="1.7" customWidth="1" min="4" max="4"/>
  </cols>
  <sheetData>
    <row r="1">
      <c r="B1" s="29" t="inlineStr">
        <is>
          <t>As-Reported Subtotals (source-of-truth for reconciliation)</t>
        </is>
      </c>
    </row>
    <row r="2">
      <c r="B2" s="8" t="inlineStr">
        <is>
          <t>Hardcoded blue from F-1/A; financials reconciliation rows pull from here</t>
        </is>
      </c>
    </row>
    <row r="3"/>
    <row r="4"/>
    <row r="5">
      <c r="G5" s="10" t="inlineStr">
        <is>
          <t>1Q25</t>
        </is>
      </c>
      <c r="H5" s="10" t="inlineStr">
        <is>
          <t>1Q26</t>
        </is>
      </c>
      <c r="R5" s="10" t="n">
        <v>2023</v>
      </c>
      <c r="S5" s="10" t="n">
        <v>2024</v>
      </c>
      <c r="T5" s="10" t="n">
        <v>2025</v>
      </c>
    </row>
    <row r="6">
      <c r="G6" s="30" t="n">
        <v>45747</v>
      </c>
      <c r="H6" s="30" t="n">
        <v>46112</v>
      </c>
      <c r="R6" s="30" t="n">
        <v>45291</v>
      </c>
      <c r="S6" s="30" t="n">
        <v>45657</v>
      </c>
      <c r="T6" s="30" t="n">
        <v>46022</v>
      </c>
    </row>
    <row r="7"/>
    <row r="8"/>
    <row r="9">
      <c r="B9" s="10" t="inlineStr">
        <is>
          <t>Gross Profit (filed)</t>
        </is>
      </c>
      <c r="G9" s="33" t="n">
        <v>165.443</v>
      </c>
      <c r="H9" s="33" t="n">
        <v>408.204</v>
      </c>
      <c r="R9" s="33" t="n">
        <v>236.518</v>
      </c>
      <c r="S9" s="33" t="n">
        <v>428.851</v>
      </c>
      <c r="T9" s="33" t="n">
        <v>857.27</v>
      </c>
    </row>
    <row r="10">
      <c r="B10" s="10" t="inlineStr">
        <is>
          <t>Operating Income (filed)</t>
        </is>
      </c>
      <c r="G10" s="33" t="n">
        <v>-4.615</v>
      </c>
      <c r="H10" s="33" t="n">
        <v>120.171</v>
      </c>
      <c r="R10" s="33" t="n">
        <v>84.267</v>
      </c>
      <c r="S10" s="33" t="n">
        <v>127.352</v>
      </c>
      <c r="T10" s="33" t="n">
        <v>277.851</v>
      </c>
    </row>
    <row r="11">
      <c r="B11" s="10" t="inlineStr">
        <is>
          <t>Pretax (filed)</t>
        </is>
      </c>
      <c r="G11" s="33" t="n">
        <v>-27.919</v>
      </c>
      <c r="H11" s="33" t="n">
        <v>76.331</v>
      </c>
      <c r="R11" s="33" t="n">
        <v>57.509</v>
      </c>
      <c r="S11" s="33" t="n">
        <v>104.837</v>
      </c>
      <c r="T11" s="33" t="n">
        <v>111.178</v>
      </c>
    </row>
    <row r="12">
      <c r="B12" s="10" t="inlineStr">
        <is>
          <t>Net Income total (filed)</t>
        </is>
      </c>
      <c r="G12" s="33" t="n">
        <v>-112.205</v>
      </c>
      <c r="H12" s="33" t="n">
        <v>27.465</v>
      </c>
      <c r="R12" s="33" t="n">
        <v>160.643</v>
      </c>
      <c r="S12" s="33" t="n">
        <v>88.997</v>
      </c>
      <c r="T12" s="33" t="n">
        <v>-0.204</v>
      </c>
    </row>
    <row r="13">
      <c r="B13" s="10" t="inlineStr">
        <is>
          <t>Net Income to BSP (filed)</t>
        </is>
      </c>
      <c r="G13" s="33" t="n">
        <v>-112.169</v>
      </c>
      <c r="H13" s="33" t="n">
        <v>27.465</v>
      </c>
      <c r="R13" s="33" t="n">
        <v>160.773</v>
      </c>
      <c r="S13" s="33" t="n">
        <v>89.51300000000001</v>
      </c>
      <c r="T13" s="33" t="n">
        <v>-0.137</v>
      </c>
    </row>
    <row r="14"/>
    <row r="15"/>
    <row r="16"/>
    <row r="17"/>
    <row r="18"/>
    <row r="19">
      <c r="B19" s="10" t="inlineStr">
        <is>
          <t>Total Current Assets (filed)</t>
        </is>
      </c>
      <c r="G19" s="43" t="n"/>
      <c r="H19" s="33" t="n">
        <v>1236.144</v>
      </c>
      <c r="R19" s="33" t="n">
        <v>357.886</v>
      </c>
      <c r="S19" s="33" t="n">
        <v>453.278</v>
      </c>
      <c r="T19" s="33" t="n">
        <v>918.664</v>
      </c>
    </row>
    <row r="20">
      <c r="B20" s="10" t="inlineStr">
        <is>
          <t>Total Assets (filed)</t>
        </is>
      </c>
      <c r="G20" s="43" t="n"/>
      <c r="H20" s="33" t="n">
        <v>6982.872</v>
      </c>
      <c r="R20" s="33" t="n">
        <v>936.744</v>
      </c>
      <c r="S20" s="33" t="n">
        <v>1884.98</v>
      </c>
      <c r="T20" s="33" t="n">
        <v>4757.495</v>
      </c>
    </row>
    <row r="21">
      <c r="B21" s="10" t="inlineStr">
        <is>
          <t>Total Current Liabilities (filed)</t>
        </is>
      </c>
      <c r="G21" s="43" t="n"/>
      <c r="H21" s="33" t="n">
        <v>1576.592</v>
      </c>
      <c r="R21" s="33" t="n">
        <v>269.807</v>
      </c>
      <c r="S21" s="33" t="n">
        <v>414.249</v>
      </c>
      <c r="T21" s="33" t="n">
        <v>1118.53</v>
      </c>
    </row>
    <row r="22">
      <c r="B22" s="10" t="inlineStr">
        <is>
          <t>Total Liabilities (filed)</t>
        </is>
      </c>
      <c r="G22" s="43" t="n"/>
      <c r="H22" s="33" t="n">
        <v>5920.182</v>
      </c>
      <c r="R22" s="33" t="n">
        <v>599.524</v>
      </c>
      <c r="S22" s="33" t="n">
        <v>1248.232</v>
      </c>
      <c r="T22" s="33" t="n">
        <v>3762.632</v>
      </c>
    </row>
    <row r="23">
      <c r="B23" s="10" t="inlineStr">
        <is>
          <t>Total Equity (filed)</t>
        </is>
      </c>
      <c r="G23" s="43" t="n"/>
      <c r="H23" s="33" t="n">
        <v>1062.69</v>
      </c>
      <c r="R23" s="33" t="n">
        <v>337.22</v>
      </c>
      <c r="S23" s="33" t="n">
        <v>636.749</v>
      </c>
      <c r="T23" s="33" t="n">
        <v>994.8630000000001</v>
      </c>
    </row>
    <row r="24">
      <c r="B24" s="10" t="inlineStr">
        <is>
          <t>Total L&amp;E (filed)</t>
        </is>
      </c>
      <c r="G24" s="43" t="n"/>
      <c r="H24" s="33" t="n">
        <v>6982.872</v>
      </c>
      <c r="R24" s="33" t="n">
        <v>936.744</v>
      </c>
      <c r="S24" s="33" t="n">
        <v>1884.98</v>
      </c>
      <c r="T24" s="33" t="n">
        <v>4757.495</v>
      </c>
    </row>
    <row r="25"/>
    <row r="26"/>
    <row r="27"/>
    <row r="28"/>
    <row r="29"/>
    <row r="30">
      <c r="B30" s="10" t="inlineStr">
        <is>
          <t>CFO (filed)</t>
        </is>
      </c>
      <c r="G30" s="33" t="n">
        <v>21.35</v>
      </c>
      <c r="H30" s="33" t="n">
        <v>75.654</v>
      </c>
      <c r="R30" s="33" t="n">
        <v>59.154</v>
      </c>
      <c r="S30" s="33" t="n">
        <v>204.895</v>
      </c>
      <c r="T30" s="33" t="n">
        <v>290.6</v>
      </c>
    </row>
    <row r="31">
      <c r="B31" s="10" t="inlineStr">
        <is>
          <t>CFI (filed)</t>
        </is>
      </c>
      <c r="G31" s="33" t="n">
        <v>-485.746</v>
      </c>
      <c r="H31" s="33" t="n">
        <v>-1647.942</v>
      </c>
      <c r="R31" s="33" t="n">
        <v>-170.294</v>
      </c>
      <c r="S31" s="33" t="n">
        <v>-889.654</v>
      </c>
      <c r="T31" s="33" t="n">
        <v>-1851.874</v>
      </c>
    </row>
    <row r="32">
      <c r="B32" s="10" t="inlineStr">
        <is>
          <t>CFF (filed)</t>
        </is>
      </c>
      <c r="G32" s="33" t="n">
        <v>778.439</v>
      </c>
      <c r="H32" s="33" t="n">
        <v>1741.16</v>
      </c>
      <c r="R32" s="33" t="n">
        <v>110.664</v>
      </c>
      <c r="S32" s="33" t="n">
        <v>664.044</v>
      </c>
      <c r="T32" s="33" t="n">
        <v>1935.932</v>
      </c>
    </row>
    <row r="33">
      <c r="B33" s="10" t="inlineStr">
        <is>
          <t>Total Cash Generated (filed)</t>
        </is>
      </c>
      <c r="G33" s="33" t="n">
        <v>314.043</v>
      </c>
      <c r="H33" s="33" t="n">
        <v>168.872</v>
      </c>
      <c r="R33" s="33" t="n">
        <v>-0.475</v>
      </c>
      <c r="S33" s="33" t="n">
        <v>-20.715</v>
      </c>
      <c r="T33" s="33" t="n">
        <v>374.658</v>
      </c>
    </row>
    <row r="34">
      <c r="B34" s="10" t="inlineStr">
        <is>
          <t>Net Change in Cash (filed)</t>
        </is>
      </c>
      <c r="G34" s="33" t="n">
        <v>325.602</v>
      </c>
      <c r="H34" s="33" t="n">
        <v>158.879</v>
      </c>
      <c r="R34" s="33" t="n">
        <v>3.167</v>
      </c>
      <c r="S34" s="33" t="n">
        <v>-50.338</v>
      </c>
      <c r="T34" s="33" t="n">
        <v>391.22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070C0"/>
    <outlinePr summaryBelow="1" summaryRight="1"/>
    <pageSetUpPr/>
  </sheetPr>
  <dimension ref="A1:F14"/>
  <sheetViews>
    <sheetView showGridLines="0" zoomScale="85" workbookViewId="0">
      <selection activeCell="A1" sqref="A1"/>
    </sheetView>
  </sheetViews>
  <sheetFormatPr baseColWidth="8" defaultRowHeight="15"/>
  <cols>
    <col width="1.7" customWidth="1" min="1" max="1"/>
    <col width="2.4" customWidth="1" min="2" max="2"/>
    <col width="30" customWidth="1" min="3" max="3"/>
    <col width="1.7" customWidth="1" min="4" max="4"/>
    <col width="4" customWidth="1" min="5" max="5"/>
    <col width="40" customWidth="1" min="6" max="6"/>
  </cols>
  <sheetData>
    <row r="1"/>
    <row r="2"/>
    <row r="3">
      <c r="A3" s="9" t="inlineStr">
        <is>
          <t>x</t>
        </is>
      </c>
      <c r="B3" s="10" t="inlineStr">
        <is>
          <t>Company Name</t>
        </is>
      </c>
      <c r="F3" s="31" t="inlineStr">
        <is>
          <t>Bending Spoons S.p.A.</t>
        </is>
      </c>
    </row>
    <row r="4"/>
    <row r="5">
      <c r="B5" t="inlineStr">
        <is>
          <t>Sub-header</t>
        </is>
      </c>
      <c r="F5" s="31" t="inlineStr">
        <is>
          <t>Dollars in millions, except per share (IFRS; USD presentation)</t>
        </is>
      </c>
    </row>
    <row r="6"/>
    <row r="7">
      <c r="B7" t="inlineStr">
        <is>
          <t>Last Fiscal Year End</t>
        </is>
      </c>
      <c r="F7" s="32" t="n">
        <v>46022</v>
      </c>
    </row>
    <row r="8"/>
    <row r="9">
      <c r="B9" t="inlineStr">
        <is>
          <t>Today</t>
        </is>
      </c>
      <c r="F9" s="30" t="n">
        <v>46207.79155883102</v>
      </c>
    </row>
    <row r="10">
      <c r="B10" t="inlineStr">
        <is>
          <t>Share Price (7/2/26 close; IPO 7/1/26 at $29.00)</t>
        </is>
      </c>
      <c r="F10" s="17" t="n">
        <v>35.93</v>
      </c>
    </row>
    <row r="11"/>
    <row r="12">
      <c r="B12" t="inlineStr">
        <is>
          <t>Minimum Cash %</t>
        </is>
      </c>
      <c r="F12" s="41" t="n">
        <v>0.1</v>
      </c>
    </row>
    <row r="13"/>
    <row r="14">
      <c r="A14" s="9" t="inlineStr">
        <is>
          <t>x</t>
        </is>
      </c>
      <c r="B14" s="10" t="inlineStr">
        <is>
          <t>By Aardvark Labs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2026-07-05T01:59:50Z</dcterms:created>
  <dcterms:modified xmlns:dcterms="http://purl.org/dc/terms/" xmlns:xsi="http://www.w3.org/2001/XMLSchema-instance" xsi:type="dcterms:W3CDTF">2026-07-05T01:59:52Z</dcterms:modified>
</cp:coreProperties>
</file>